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2"/>
  </bookViews>
  <sheets>
    <sheet name="культура" sheetId="1" r:id="rId1"/>
    <sheet name="апарат" sheetId="2" r:id="rId2"/>
    <sheet name="госп" sheetId="3" r:id="rId3"/>
    <sheet name="методисти" sheetId="4" r:id="rId4"/>
    <sheet name="пожежники" sheetId="5" r:id="rId5"/>
  </sheets>
  <definedNames/>
  <calcPr fullCalcOnLoad="1"/>
</workbook>
</file>

<file path=xl/sharedStrings.xml><?xml version="1.0" encoding="utf-8"?>
<sst xmlns="http://schemas.openxmlformats.org/spreadsheetml/2006/main" count="500" uniqueCount="300">
  <si>
    <t>ЗАТВЕРДЖУЮ:</t>
  </si>
  <si>
    <t>Із місячним фондом заробітноі плати по посадовим окладам</t>
  </si>
  <si>
    <t>(ініціали,прізвище)</t>
  </si>
  <si>
    <t xml:space="preserve"> Сторожинецький міський голова </t>
  </si>
  <si>
    <t>(посада)</t>
  </si>
  <si>
    <t>Ранг</t>
  </si>
  <si>
    <t>за вислугу років держ.сл.</t>
  </si>
  <si>
    <t xml:space="preserve"> </t>
  </si>
  <si>
    <t>Оплата за високі досягнення в праці 35%</t>
  </si>
  <si>
    <t>№ п/п</t>
  </si>
  <si>
    <t>Секретар ради</t>
  </si>
  <si>
    <t>Апарат міської ради</t>
  </si>
  <si>
    <t>Фінансовий відділ</t>
  </si>
  <si>
    <t>Начальник відділу</t>
  </si>
  <si>
    <t>Провідний спеціаліст</t>
  </si>
  <si>
    <t>Реєстраційний відділ</t>
  </si>
  <si>
    <t>Начальник відділу - держ. реєстратор</t>
  </si>
  <si>
    <t>Державний реєстратор</t>
  </si>
  <si>
    <t>Спеціаліст з реєстрації місця проживання</t>
  </si>
  <si>
    <t>Секретар керівника</t>
  </si>
  <si>
    <t>Відділ освіти, молоді та спорту</t>
  </si>
  <si>
    <t>Водій</t>
  </si>
  <si>
    <t>Технічний працівник</t>
  </si>
  <si>
    <t>Інженер-енергетик</t>
  </si>
  <si>
    <t>Всього</t>
  </si>
  <si>
    <t>Шкідливі умови 10%</t>
  </si>
  <si>
    <t>Відділ земельних відносин та комунальної власності</t>
  </si>
  <si>
    <t xml:space="preserve">Провідний спеціаліст </t>
  </si>
  <si>
    <t>Юридичний відділ</t>
  </si>
  <si>
    <t>Діловод</t>
  </si>
  <si>
    <t xml:space="preserve">Начальник відділу </t>
  </si>
  <si>
    <t>Відділ документообігу та контролю</t>
  </si>
  <si>
    <t>Інспектор  з військового обліку</t>
  </si>
  <si>
    <t>Електрик</t>
  </si>
  <si>
    <t>Архіваріус</t>
  </si>
  <si>
    <t>Військово - облікове бюро</t>
  </si>
  <si>
    <t>Відділ соціального захисту населення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</si>
  <si>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</si>
  <si>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</si>
  <si>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</si>
  <si>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</si>
  <si>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Бухгалтер</t>
  </si>
  <si>
    <t>Нічні</t>
  </si>
  <si>
    <t>Водій пожежної машини с.Комарівці</t>
  </si>
  <si>
    <t>Відділ економічного розвитку, торгівлі, інвестицій та державних закупівель</t>
  </si>
  <si>
    <t>Відділ культури, туризму та з питань діяльності засобів масової інформації</t>
  </si>
  <si>
    <t>Управління бухгалтерського обліку та звітності</t>
  </si>
  <si>
    <t>Начальник управління - головний бухгалтер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</si>
  <si>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</si>
  <si>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</si>
  <si>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Оператор газової котельні</t>
  </si>
  <si>
    <t>гірські</t>
  </si>
  <si>
    <t>%</t>
  </si>
  <si>
    <t>на руки</t>
  </si>
  <si>
    <t>премія</t>
  </si>
  <si>
    <t>нараховано</t>
  </si>
  <si>
    <t>Кількість штатних посад</t>
  </si>
  <si>
    <t>Посадовий оклад (грн.)</t>
  </si>
  <si>
    <t>за ранг</t>
  </si>
  <si>
    <t>за гірські</t>
  </si>
  <si>
    <t>за вислугу років</t>
  </si>
  <si>
    <t>Надбавки (грн.)</t>
  </si>
  <si>
    <t>Оплата за високі досягнення в праці</t>
  </si>
  <si>
    <t>Доплати (грн)</t>
  </si>
  <si>
    <t>Фонд заробітної плати на місяць (грн)</t>
  </si>
  <si>
    <t>Фонд заробітної плати за 12 місяців (грн)</t>
  </si>
  <si>
    <t>Міський голова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</si>
  <si>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</si>
  <si>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</si>
  <si>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</si>
  <si>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</si>
  <si>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ЗАТВЕРДЖУЮ</t>
  </si>
  <si>
    <t xml:space="preserve">з місячним фондом заробітноі плати </t>
  </si>
  <si>
    <t xml:space="preserve">М.М.Карлійчук </t>
  </si>
  <si>
    <t>ТИПОВИЙ  ШТАТНИЙ  РОЗПИС</t>
  </si>
  <si>
    <t>М.П.</t>
  </si>
  <si>
    <t>на 2017 рік</t>
  </si>
  <si>
    <t>Сторожинецька міська рада</t>
  </si>
  <si>
    <t>Давидівка</t>
  </si>
  <si>
    <t>Панка</t>
  </si>
  <si>
    <t>Нові Бросківці</t>
  </si>
  <si>
    <t>Комарівці</t>
  </si>
  <si>
    <t>Костинці</t>
  </si>
  <si>
    <t>Бобівці</t>
  </si>
  <si>
    <t>Перший заступник міського голови</t>
  </si>
  <si>
    <t>Заступник  міського голови</t>
  </si>
  <si>
    <t>Н.Бросківці</t>
  </si>
  <si>
    <t>Зруб Ком</t>
  </si>
  <si>
    <t>Слобода Ком</t>
  </si>
  <si>
    <t>Банилів Підгір</t>
  </si>
  <si>
    <t>Банилів Підг</t>
  </si>
  <si>
    <t>Зруб Комарівськ</t>
  </si>
  <si>
    <t>Слобода Комарівці</t>
  </si>
  <si>
    <t>Керівник</t>
  </si>
  <si>
    <t>Головний бухгалтер</t>
  </si>
  <si>
    <r>
      <t xml:space="preserve">                           </t>
    </r>
    <r>
      <rPr>
        <b/>
        <sz val="12"/>
        <color indexed="8"/>
        <rFont val="Times New Roman"/>
        <family val="1"/>
      </rPr>
      <t xml:space="preserve">М.М.Карлійчук </t>
    </r>
  </si>
  <si>
    <t>(підпис)                         (ініціали і прізвище) </t>
  </si>
  <si>
    <t>(підпис)                            (ініціали і прізвище) </t>
  </si>
  <si>
    <t>Назва структурного підрозділу та посад</t>
  </si>
  <si>
    <t>від  26 листопада 2012 року № 1220</t>
  </si>
  <si>
    <t xml:space="preserve">на 2017 рік </t>
  </si>
  <si>
    <t>(ініціали і прізвище) </t>
  </si>
  <si>
    <t>(підпис)</t>
  </si>
  <si>
    <t xml:space="preserve">                                                М.І.Грезюк</t>
  </si>
  <si>
    <t>М.М.Карлійчук</t>
  </si>
  <si>
    <t>тарифний розряд</t>
  </si>
  <si>
    <t>за гірські 25%</t>
  </si>
  <si>
    <t>за класність 25%</t>
  </si>
  <si>
    <t>Надбавки (грн)</t>
  </si>
  <si>
    <t xml:space="preserve"> за високі досягнення в праці 50%</t>
  </si>
  <si>
    <t>до 3200 грн</t>
  </si>
  <si>
    <t xml:space="preserve">Доплати (грн) </t>
  </si>
  <si>
    <t>М.І.Грезюк</t>
  </si>
  <si>
    <t>Пожежна охорона</t>
  </si>
  <si>
    <t>01.01.2017 р.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</si>
  <si>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20,5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штатних одиниць</t>
    </r>
  </si>
  <si>
    <r>
      <t>Примітка</t>
    </r>
    <r>
      <rPr>
        <b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Складається органами державного управління та місцевого самоврядування. </t>
    </r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</si>
  <si>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</si>
  <si>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Культура</t>
  </si>
  <si>
    <t>Тарифний розряд</t>
  </si>
  <si>
    <t>вислуга років</t>
  </si>
  <si>
    <t xml:space="preserve"> за вислугу років</t>
  </si>
  <si>
    <t>нічні</t>
  </si>
  <si>
    <t>шкідливі умови  10%</t>
  </si>
  <si>
    <t>до 3200</t>
  </si>
  <si>
    <t>Директор будинку культури с.Костинці</t>
  </si>
  <si>
    <t>Директор будинку культури с.Банилів-Підгірний</t>
  </si>
  <si>
    <t>Директор будинку культури с. Комарівці</t>
  </si>
  <si>
    <t>Художній керівник будинку культури с.Банилів-Підгірний</t>
  </si>
  <si>
    <t>Художній керівник будинку культури с.Комарівці</t>
  </si>
  <si>
    <t>Завідуючий клубом м.Сторожинець</t>
  </si>
  <si>
    <t>Зав.клубом №2 с.Банилів-Підгірний</t>
  </si>
  <si>
    <t>Зав.клубом №4 с.Банилів-Підгірний</t>
  </si>
  <si>
    <t>Зав.клубом с.Ясени</t>
  </si>
  <si>
    <t>Зав.клубом с.Нові Бросківці</t>
  </si>
  <si>
    <t>Зав.клубом с.Бобівці</t>
  </si>
  <si>
    <t>Зав.клубом с.Зруб Комарівці</t>
  </si>
  <si>
    <t>Зав.клубом с.Давидівка</t>
  </si>
  <si>
    <t>Техпрацівник с.Зруб-Комарівці</t>
  </si>
  <si>
    <t>Техпрацівник с.Бобівці</t>
  </si>
  <si>
    <t>Техпрацівник с.Нові Бросківці</t>
  </si>
  <si>
    <t>Техпрацівник с.Костинці</t>
  </si>
  <si>
    <t>Техпрацівник с.Банилів-Підгірний</t>
  </si>
  <si>
    <t>Техпрацівник с.Комарівці</t>
  </si>
  <si>
    <t>Техпрацівник м.Сторожинець</t>
  </si>
  <si>
    <t>Оператор газової котельні с.Бобівці</t>
  </si>
  <si>
    <t>Оператор газової котельні с.Комарівці</t>
  </si>
  <si>
    <t xml:space="preserve">                         Керівник   </t>
  </si>
  <si>
    <r>
      <t>Примітка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Складається органами державного управління та місцевого самоврядування. </t>
    </r>
  </si>
  <si>
    <t xml:space="preserve"> за класність 25%</t>
  </si>
  <si>
    <t xml:space="preserve"> за ненормов.  роб. день 25%</t>
  </si>
  <si>
    <t>Техпрацівник с.Слобода Комарівці</t>
  </si>
  <si>
    <t>Зав.клубом с.Слобода Комарівці</t>
  </si>
  <si>
    <t>Харитон Г.І.</t>
  </si>
  <si>
    <t>Влад В.Г. сумісн</t>
  </si>
  <si>
    <t>Харітон Г.В.</t>
  </si>
  <si>
    <t>Чернявська Т.К.</t>
  </si>
  <si>
    <t>Кушнір В.С №4</t>
  </si>
  <si>
    <t>Бойчук Л.Р. №2</t>
  </si>
  <si>
    <t>Образник</t>
  </si>
  <si>
    <t>Опаєць Д.</t>
  </si>
  <si>
    <t>Барановська О.Л.</t>
  </si>
  <si>
    <t>Скіцько О.Д.</t>
  </si>
  <si>
    <t>Сумарюк Н.В  бк</t>
  </si>
  <si>
    <t>Білінська- Фальоса</t>
  </si>
  <si>
    <t>Барановський Д.І.</t>
  </si>
  <si>
    <t>Рева Г.С.</t>
  </si>
  <si>
    <t>Федорюк Л.І.</t>
  </si>
  <si>
    <t>Струтинська В.М.</t>
  </si>
  <si>
    <t>Продан М.Ю</t>
  </si>
  <si>
    <t>Биндяк Н.Д.</t>
  </si>
  <si>
    <t>Продан Я.М.</t>
  </si>
  <si>
    <t>Волощук А.М.</t>
  </si>
  <si>
    <t>Солтич С.А.</t>
  </si>
  <si>
    <t>Сиротюук О.Д.</t>
  </si>
  <si>
    <t>Козак Д.Г.</t>
  </si>
  <si>
    <t>Петращук О.І.</t>
  </si>
  <si>
    <t>Дударчук Л.Я.</t>
  </si>
  <si>
    <t>Кисилиця Г.М.</t>
  </si>
  <si>
    <t>Іліка О.В.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</si>
  <si>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27,0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штатних одиниць</t>
    </r>
  </si>
  <si>
    <t>шістдесят шість тисяч  сімдесят шість гривень 00 коп.</t>
  </si>
  <si>
    <t>Погрібна В.В.</t>
  </si>
  <si>
    <t>Багрій В.М.</t>
  </si>
  <si>
    <t>Гева В.І.</t>
  </si>
  <si>
    <t>Реус О.А.</t>
  </si>
  <si>
    <t>за метод.роботу 10%</t>
  </si>
  <si>
    <t>за престижність праці 20%</t>
  </si>
  <si>
    <t xml:space="preserve">                     М.І.Грезюк</t>
  </si>
  <si>
    <t>Надбавки  (грн)</t>
  </si>
  <si>
    <t>звання вчителя-методиста</t>
  </si>
  <si>
    <t>двадцять сім тисяч триста сімдесят гривнів 08 коп.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</si>
  <si>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 xml:space="preserve"> 4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штатних одиниць</t>
    </r>
  </si>
  <si>
    <t>Центр  надання методичної допомоги</t>
  </si>
  <si>
    <t>за складність та напруженість</t>
  </si>
  <si>
    <t xml:space="preserve">Методист </t>
  </si>
  <si>
    <t xml:space="preserve">Завівдувач </t>
  </si>
  <si>
    <t>Із місячним фондом заробітноі плати по посадовим окладом</t>
  </si>
  <si>
    <t>Зав.клубом Нові Бросківці ( с.Заболоття)</t>
  </si>
  <si>
    <t>Техпрацівник Нові Бросківці( с.Заболоття)</t>
  </si>
  <si>
    <t>Відділ у справах дітей</t>
  </si>
  <si>
    <t>Кушнір О.М.</t>
  </si>
  <si>
    <t>Гаврилюк Т.М.</t>
  </si>
  <si>
    <t xml:space="preserve">Піта Л.І. </t>
  </si>
  <si>
    <r>
      <t>Піта Л.І.</t>
    </r>
    <r>
      <rPr>
        <sz val="9"/>
        <color indexed="12"/>
        <rFont val="Arial Cyr"/>
        <family val="0"/>
      </rPr>
      <t xml:space="preserve">  Крушельницька Л.В.</t>
    </r>
  </si>
  <si>
    <t>від 26 листопада 2012 року № 1220</t>
  </si>
  <si>
    <t>дев'яносто сім тисяч сімсот сімдесят дев'ять гривень 80 коп.</t>
  </si>
  <si>
    <t>кадрова робота</t>
  </si>
  <si>
    <t>Завідувач</t>
  </si>
  <si>
    <t>К 5,04</t>
  </si>
  <si>
    <t>24..04</t>
  </si>
  <si>
    <t>Слобода Ком.</t>
  </si>
  <si>
    <t>24.04.</t>
  </si>
  <si>
    <t>13.04.</t>
  </si>
  <si>
    <t>3.04,</t>
  </si>
  <si>
    <t>13,03,</t>
  </si>
  <si>
    <t>2.03,</t>
  </si>
  <si>
    <t>ст/д</t>
  </si>
  <si>
    <t>7,03,</t>
  </si>
  <si>
    <t>16,03,</t>
  </si>
  <si>
    <t>14,03,</t>
  </si>
  <si>
    <t>23,03,</t>
  </si>
  <si>
    <t xml:space="preserve">                           М.М.Карлійчук </t>
  </si>
  <si>
    <t>Головний спеціаліст</t>
  </si>
  <si>
    <t>Староста с.Давидівка</t>
  </si>
  <si>
    <t>Староста с.Панка</t>
  </si>
  <si>
    <t>Староста с.Н.Бросківці</t>
  </si>
  <si>
    <t>Староста с.Слобода Комарівці</t>
  </si>
  <si>
    <t>Староста с.Комарівці</t>
  </si>
  <si>
    <t>Староста с.Костинці</t>
  </si>
  <si>
    <t>Староста с.Зруб Комарівський</t>
  </si>
  <si>
    <t>Староста с.Банилів Підгірний</t>
  </si>
  <si>
    <t>Староста с.Бобівці</t>
  </si>
  <si>
    <t>Діловод с.Давидівка</t>
  </si>
  <si>
    <t>Діловод с.Панка</t>
  </si>
  <si>
    <t>Діловод с.Н.Бросківці</t>
  </si>
  <si>
    <t>Діловод с.Комарівці</t>
  </si>
  <si>
    <t>Діловод с.Зруб Комарівський</t>
  </si>
  <si>
    <t>Діловод с.Слобода Комарівці</t>
  </si>
  <si>
    <t>Діловод с.Костинці</t>
  </si>
  <si>
    <t>Діловод с.Банилів Підгірний</t>
  </si>
  <si>
    <t>Діловод с.Бобівці</t>
  </si>
  <si>
    <t>Провідний спеціаліст с.Банилів Підгірний</t>
  </si>
  <si>
    <t>Провідний спеціаліст с.Костинці</t>
  </si>
  <si>
    <t>Провідний спеціаліст с.Бобівці</t>
  </si>
  <si>
    <t>Провідний спеціаліст с.Панка</t>
  </si>
  <si>
    <t>Провідний спеціаліст с.Нові Бросківці</t>
  </si>
  <si>
    <t>Провідний спеціаліст с.Давидівка</t>
  </si>
  <si>
    <t>Провідний спеціаліст с.Зруб Комарівський</t>
  </si>
  <si>
    <t>Провідний спеціаліст с.Слобода Комарівці</t>
  </si>
  <si>
    <t>Провідний спеціаліст с.Комарівці</t>
  </si>
  <si>
    <t>с.Давидівка</t>
  </si>
  <si>
    <t>с.Панка</t>
  </si>
  <si>
    <t>с.Нові Бросківці</t>
  </si>
  <si>
    <t>с.Слобода</t>
  </si>
  <si>
    <t>с.Комарівці</t>
  </si>
  <si>
    <t>с.Костинці</t>
  </si>
  <si>
    <t>с.Зруб-Комарівці</t>
  </si>
  <si>
    <t>с.Банилів-Підгір</t>
  </si>
  <si>
    <t>с.Бобівці</t>
  </si>
  <si>
    <t>Інспектор с.Давидівка</t>
  </si>
  <si>
    <t>Інспектор с. Панка</t>
  </si>
  <si>
    <t>Інспектор с.Нові Бросківці</t>
  </si>
  <si>
    <t>Інспектор с..Комарівці</t>
  </si>
  <si>
    <t>Інспектор с.Зруб Комарівський</t>
  </si>
  <si>
    <t>Інспектор с.Комарівці</t>
  </si>
  <si>
    <t>Інспектор с.Костинці</t>
  </si>
  <si>
    <t>Інспектор с.Банилів Підгірний</t>
  </si>
  <si>
    <t>Інспектор с.Бобівці</t>
  </si>
  <si>
    <t>Відділ містобудування, архітектури, житлово-комунального господарства, транспорту, благоустрою та  інфраструктури.</t>
  </si>
  <si>
    <t>13.06,</t>
  </si>
  <si>
    <t>13,06,</t>
  </si>
  <si>
    <t>4,05, к</t>
  </si>
  <si>
    <t>п'ятсот п'ятдесят чотири тисячі дев'ятсот сімдесят одна  грн 74 коп.</t>
  </si>
  <si>
    <r>
      <t xml:space="preserve">Штат в кількості </t>
    </r>
    <r>
      <rPr>
        <u val="single"/>
        <sz val="11"/>
        <rFont val="Times New Roman"/>
        <family val="1"/>
      </rPr>
      <t xml:space="preserve">   99  </t>
    </r>
    <r>
      <rPr>
        <sz val="11"/>
        <rFont val="Times New Roman"/>
        <family val="1"/>
      </rPr>
      <t>штатних одиниць</t>
    </r>
  </si>
  <si>
    <t>Інженер-механік</t>
  </si>
  <si>
    <t>Інспектор з охорони праці</t>
  </si>
  <si>
    <t>Оператор газових котлів приміщення Сторожинецької міської ради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</si>
  <si>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</si>
  <si>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</si>
  <si>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</si>
  <si>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Гірські 25%</t>
  </si>
  <si>
    <t xml:space="preserve">Водій-тракторист                                           </t>
  </si>
  <si>
    <r>
      <t xml:space="preserve">                           </t>
    </r>
    <r>
      <rPr>
        <b/>
        <sz val="14"/>
        <color indexed="8"/>
        <rFont val="Times New Roman"/>
        <family val="1"/>
      </rPr>
      <t xml:space="preserve">М.М.Карлійчук </t>
    </r>
  </si>
  <si>
    <t xml:space="preserve"> за високі досягнення в праці ,я в роботі 50%</t>
  </si>
  <si>
    <t>Сезонний опалювач в с. Костинці</t>
  </si>
  <si>
    <t xml:space="preserve">  до 4173 грн</t>
  </si>
  <si>
    <t>новий оклад</t>
  </si>
  <si>
    <t xml:space="preserve">     Відділу транспортно-господарського обслуговування</t>
  </si>
  <si>
    <t>Начальник   відділу</t>
  </si>
  <si>
    <t>всього</t>
  </si>
  <si>
    <t xml:space="preserve">        СТРУКТУРА ШТАТНОГО  РОЗПИСУ</t>
  </si>
  <si>
    <t>МП</t>
  </si>
  <si>
    <t>Сторожинецький міський голова</t>
  </si>
  <si>
    <t xml:space="preserve">                              МП</t>
  </si>
  <si>
    <t xml:space="preserve">                                                             _____________І.Г. Матейчук </t>
  </si>
  <si>
    <t>на 2021 рік</t>
  </si>
  <si>
    <t>Електромонтер</t>
  </si>
  <si>
    <t>Секретар міської ради                                                   Дмитро БОЙЧУК</t>
  </si>
  <si>
    <t xml:space="preserve">Додаток до рішення II сесії Сторожинецької міської ради VIII скликання від __.12.2020 року                      №    -2/2020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</si>
</sst>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</numFmts>
  <fonts count="8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9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6" fillId="0" borderId="14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9" fontId="3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2" fontId="12" fillId="0" borderId="13" xfId="0" applyNumberFormat="1" applyFont="1" applyBorder="1" applyAlignment="1">
      <alignment/>
    </xf>
    <xf numFmtId="0" fontId="15" fillId="0" borderId="14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31" fillId="32" borderId="10" xfId="0" applyFont="1" applyFill="1" applyBorder="1" applyAlignment="1">
      <alignment vertical="center" wrapText="1"/>
    </xf>
    <xf numFmtId="0" fontId="36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21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10" fontId="21" fillId="0" borderId="10" xfId="0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right"/>
    </xf>
    <xf numFmtId="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2" fontId="4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9" fontId="21" fillId="0" borderId="10" xfId="0" applyNumberFormat="1" applyFont="1" applyFill="1" applyBorder="1" applyAlignment="1">
      <alignment horizontal="right" vertical="center" wrapText="1"/>
    </xf>
    <xf numFmtId="9" fontId="2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42" fillId="32" borderId="10" xfId="0" applyFont="1" applyFill="1" applyBorder="1" applyAlignment="1">
      <alignment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3" fillId="32" borderId="10" xfId="0" applyFont="1" applyFill="1" applyBorder="1" applyAlignment="1">
      <alignment wrapText="1"/>
    </xf>
    <xf numFmtId="16" fontId="43" fillId="32" borderId="10" xfId="0" applyNumberFormat="1" applyFont="1" applyFill="1" applyBorder="1" applyAlignment="1">
      <alignment wrapText="1"/>
    </xf>
    <xf numFmtId="16" fontId="6" fillId="32" borderId="10" xfId="0" applyNumberFormat="1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9" fontId="12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9" fontId="12" fillId="0" borderId="10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16" fontId="21" fillId="32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21" fillId="4" borderId="10" xfId="0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right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12" fillId="0" borderId="0" xfId="0" applyNumberFormat="1" applyFont="1" applyAlignment="1">
      <alignment/>
    </xf>
    <xf numFmtId="0" fontId="21" fillId="32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29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5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4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textRotation="90"/>
    </xf>
    <xf numFmtId="0" fontId="7" fillId="0" borderId="2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12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37">
      <selection activeCell="D52" sqref="D52"/>
    </sheetView>
  </sheetViews>
  <sheetFormatPr defaultColWidth="9.00390625" defaultRowHeight="12.75"/>
  <cols>
    <col min="1" max="1" width="4.125" style="0" customWidth="1"/>
    <col min="2" max="2" width="40.75390625" style="0" customWidth="1"/>
    <col min="3" max="3" width="18.125" style="138" hidden="1" customWidth="1"/>
    <col min="6" max="6" width="11.25390625" style="0" customWidth="1"/>
    <col min="7" max="7" width="0" style="0" hidden="1" customWidth="1"/>
    <col min="8" max="8" width="8.25390625" style="0" customWidth="1"/>
    <col min="9" max="9" width="11.125" style="0" customWidth="1"/>
    <col min="13" max="13" width="10.625" style="0" customWidth="1"/>
    <col min="14" max="14" width="11.125" style="0" customWidth="1"/>
    <col min="15" max="15" width="13.00390625" style="0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.75">
      <c r="B2" s="4"/>
      <c r="C2" s="4"/>
      <c r="D2" s="4"/>
      <c r="E2" s="4"/>
      <c r="F2" s="4"/>
      <c r="G2" s="4"/>
      <c r="H2" s="4"/>
      <c r="I2" s="50"/>
      <c r="J2" s="50"/>
      <c r="K2" s="50" t="s">
        <v>67</v>
      </c>
      <c r="L2" s="50"/>
      <c r="M2" s="4"/>
      <c r="N2" s="4"/>
      <c r="O2" s="4"/>
    </row>
    <row r="3" spans="2:15" ht="12.75">
      <c r="B3" s="4"/>
      <c r="C3" s="4"/>
      <c r="D3" s="4"/>
      <c r="E3" s="4"/>
      <c r="F3" s="4"/>
      <c r="G3" s="4"/>
      <c r="H3" s="4"/>
      <c r="I3" s="50"/>
      <c r="J3" s="50"/>
      <c r="K3" s="50" t="s">
        <v>68</v>
      </c>
      <c r="L3" s="50"/>
      <c r="M3" s="50"/>
      <c r="N3" s="4"/>
      <c r="O3" s="4"/>
    </row>
    <row r="4" spans="2:15" ht="12.75">
      <c r="B4" s="4"/>
      <c r="C4" s="4"/>
      <c r="D4" s="4"/>
      <c r="E4" s="4"/>
      <c r="F4" s="4"/>
      <c r="G4" s="4"/>
      <c r="H4" s="4"/>
      <c r="I4" s="50"/>
      <c r="J4" s="50"/>
      <c r="K4" s="50" t="s">
        <v>69</v>
      </c>
      <c r="L4" s="50"/>
      <c r="M4" s="50"/>
      <c r="N4" s="4"/>
      <c r="O4" s="4"/>
    </row>
    <row r="5" spans="2:15" ht="12.75">
      <c r="B5" s="4"/>
      <c r="C5" s="4"/>
      <c r="D5" s="4"/>
      <c r="E5" s="4"/>
      <c r="F5" s="4"/>
      <c r="G5" s="4"/>
      <c r="H5" s="4"/>
      <c r="I5" s="50"/>
      <c r="J5" s="50"/>
      <c r="K5" s="50" t="s">
        <v>70</v>
      </c>
      <c r="L5" s="50"/>
      <c r="M5" s="50"/>
      <c r="N5" s="4"/>
      <c r="O5" s="4"/>
    </row>
    <row r="6" spans="2:15" ht="12.75">
      <c r="B6" s="4"/>
      <c r="C6" s="4"/>
      <c r="D6" s="4"/>
      <c r="E6" s="4"/>
      <c r="F6" s="4"/>
      <c r="G6" s="4"/>
      <c r="H6" s="4"/>
      <c r="I6" s="50"/>
      <c r="J6" s="50"/>
      <c r="K6" s="50" t="s">
        <v>99</v>
      </c>
      <c r="L6" s="50"/>
      <c r="M6" s="50"/>
      <c r="N6" s="4"/>
      <c r="O6" s="4"/>
    </row>
    <row r="7" spans="2:15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26.25" customHeight="1">
      <c r="B8" s="4"/>
      <c r="C8" s="4"/>
      <c r="D8" s="4"/>
      <c r="E8" s="4"/>
      <c r="F8" s="4"/>
      <c r="G8" s="2"/>
      <c r="H8" s="73"/>
      <c r="I8" s="133"/>
      <c r="J8" s="133"/>
      <c r="K8" s="78" t="s">
        <v>0</v>
      </c>
      <c r="L8" s="78"/>
      <c r="M8" s="133"/>
      <c r="N8" s="133"/>
      <c r="O8" s="4"/>
    </row>
    <row r="9" spans="2:15" ht="15.75">
      <c r="B9" s="4"/>
      <c r="C9" s="4"/>
      <c r="D9" s="4"/>
      <c r="E9" s="4"/>
      <c r="F9" s="4"/>
      <c r="G9" s="10"/>
      <c r="H9" s="74"/>
      <c r="I9" s="261" t="s">
        <v>180</v>
      </c>
      <c r="J9" s="261"/>
      <c r="K9" s="261"/>
      <c r="L9" s="261"/>
      <c r="M9" s="261"/>
      <c r="N9" s="261"/>
      <c r="O9" s="4"/>
    </row>
    <row r="10" spans="2:15" ht="15.75">
      <c r="B10" s="4"/>
      <c r="C10" s="4"/>
      <c r="D10" s="4"/>
      <c r="E10" s="4"/>
      <c r="F10" s="4"/>
      <c r="G10" s="11"/>
      <c r="H10" s="74"/>
      <c r="I10" s="261" t="s">
        <v>1</v>
      </c>
      <c r="J10" s="261"/>
      <c r="K10" s="261"/>
      <c r="L10" s="261"/>
      <c r="M10" s="261"/>
      <c r="N10" s="261"/>
      <c r="O10" s="71"/>
    </row>
    <row r="11" spans="2:15" ht="15.75">
      <c r="B11" s="4"/>
      <c r="C11" s="4"/>
      <c r="D11" s="251"/>
      <c r="E11" s="252"/>
      <c r="F11" s="252"/>
      <c r="G11" s="53"/>
      <c r="H11" s="75"/>
      <c r="I11" s="134" t="s">
        <v>206</v>
      </c>
      <c r="J11" s="134"/>
      <c r="K11" s="134"/>
      <c r="L11" s="134"/>
      <c r="M11" s="134"/>
      <c r="N11" s="134"/>
      <c r="O11" s="4"/>
    </row>
    <row r="12" spans="2:15" ht="20.25">
      <c r="B12" s="4"/>
      <c r="C12" s="4"/>
      <c r="D12" s="253"/>
      <c r="E12" s="254"/>
      <c r="F12" s="254"/>
      <c r="G12" s="10"/>
      <c r="H12" s="76"/>
      <c r="I12" s="94" t="s">
        <v>3</v>
      </c>
      <c r="J12" s="94"/>
      <c r="K12" s="94"/>
      <c r="L12" s="15"/>
      <c r="M12" s="133"/>
      <c r="N12" s="133"/>
      <c r="O12" s="4"/>
    </row>
    <row r="13" spans="2:15" ht="15">
      <c r="B13" s="4"/>
      <c r="C13" s="4"/>
      <c r="D13" s="252"/>
      <c r="E13" s="252"/>
      <c r="F13" s="252"/>
      <c r="G13" s="10"/>
      <c r="H13" s="74"/>
      <c r="I13" s="263" t="s">
        <v>4</v>
      </c>
      <c r="J13" s="263"/>
      <c r="K13" s="263"/>
      <c r="L13" s="52"/>
      <c r="M13" s="42"/>
      <c r="N13" s="4"/>
      <c r="O13" s="4"/>
    </row>
    <row r="14" spans="2:15" ht="25.5">
      <c r="B14" s="271" t="s">
        <v>74</v>
      </c>
      <c r="C14" s="271"/>
      <c r="D14" s="271"/>
      <c r="E14" s="271"/>
      <c r="F14" s="271"/>
      <c r="G14" s="271"/>
      <c r="H14" s="77"/>
      <c r="I14" s="55"/>
      <c r="J14" s="55"/>
      <c r="K14" s="52"/>
      <c r="L14" s="265" t="s">
        <v>117</v>
      </c>
      <c r="M14" s="265"/>
      <c r="N14" s="265"/>
      <c r="O14" s="4"/>
    </row>
    <row r="15" spans="2:15" ht="20.25">
      <c r="B15" s="254" t="s">
        <v>100</v>
      </c>
      <c r="C15" s="254"/>
      <c r="D15" s="254"/>
      <c r="E15" s="254"/>
      <c r="F15" s="254"/>
      <c r="G15" s="254"/>
      <c r="H15" s="52"/>
      <c r="I15" s="52"/>
      <c r="J15" s="52"/>
      <c r="K15" s="12"/>
      <c r="L15" s="264" t="s">
        <v>2</v>
      </c>
      <c r="M15" s="264"/>
      <c r="N15" s="264"/>
      <c r="O15" s="4"/>
    </row>
    <row r="16" spans="2:15" ht="15.75">
      <c r="B16" s="4"/>
      <c r="C16" s="4"/>
      <c r="D16" s="255"/>
      <c r="E16" s="255"/>
      <c r="F16" s="255"/>
      <c r="G16" s="10"/>
      <c r="H16" s="10"/>
      <c r="I16" s="10"/>
      <c r="J16" s="10"/>
      <c r="K16" s="9" t="s">
        <v>75</v>
      </c>
      <c r="L16" s="10"/>
      <c r="M16" s="4"/>
      <c r="N16" s="4"/>
      <c r="O16" s="4"/>
    </row>
    <row r="17" spans="2:12" ht="18">
      <c r="B17" s="270" t="s">
        <v>118</v>
      </c>
      <c r="C17" s="270"/>
      <c r="D17" s="270"/>
      <c r="E17" s="270"/>
      <c r="F17" s="270"/>
      <c r="G17" s="270"/>
      <c r="H17" s="262">
        <v>42826</v>
      </c>
      <c r="I17" s="262"/>
      <c r="J17" s="103"/>
      <c r="K17" s="1"/>
      <c r="L17" s="1"/>
    </row>
    <row r="18" spans="4:5" ht="12.75">
      <c r="D18" s="104"/>
      <c r="E18" s="105"/>
    </row>
    <row r="19" spans="1:15" ht="15">
      <c r="A19" s="266" t="s">
        <v>9</v>
      </c>
      <c r="B19" s="268" t="s">
        <v>98</v>
      </c>
      <c r="C19" s="17"/>
      <c r="D19" s="256" t="s">
        <v>56</v>
      </c>
      <c r="E19" s="256" t="s">
        <v>119</v>
      </c>
      <c r="F19" s="256" t="s">
        <v>57</v>
      </c>
      <c r="G19" s="258" t="s">
        <v>108</v>
      </c>
      <c r="H19" s="259"/>
      <c r="I19" s="259"/>
      <c r="J19" s="258" t="s">
        <v>63</v>
      </c>
      <c r="K19" s="259"/>
      <c r="L19" s="259"/>
      <c r="M19" s="260"/>
      <c r="N19" s="256" t="s">
        <v>64</v>
      </c>
      <c r="O19" s="256" t="s">
        <v>65</v>
      </c>
    </row>
    <row r="20" spans="1:15" ht="90">
      <c r="A20" s="267"/>
      <c r="B20" s="269"/>
      <c r="C20" s="21"/>
      <c r="D20" s="257"/>
      <c r="E20" s="257"/>
      <c r="F20" s="257"/>
      <c r="G20" s="106" t="s">
        <v>120</v>
      </c>
      <c r="H20" s="107" t="s">
        <v>121</v>
      </c>
      <c r="I20" s="18" t="s">
        <v>106</v>
      </c>
      <c r="J20" s="18" t="s">
        <v>109</v>
      </c>
      <c r="K20" s="18" t="s">
        <v>122</v>
      </c>
      <c r="L20" s="18" t="s">
        <v>123</v>
      </c>
      <c r="M20" s="18" t="s">
        <v>124</v>
      </c>
      <c r="N20" s="257"/>
      <c r="O20" s="257"/>
    </row>
    <row r="21" spans="1:15" ht="22.5" customHeight="1">
      <c r="A21" s="108">
        <v>1</v>
      </c>
      <c r="B21" s="109" t="s">
        <v>137</v>
      </c>
      <c r="C21" s="141" t="s">
        <v>169</v>
      </c>
      <c r="D21" s="110">
        <v>1</v>
      </c>
      <c r="E21" s="110">
        <v>11</v>
      </c>
      <c r="F21" s="110">
        <v>3152</v>
      </c>
      <c r="G21" s="111"/>
      <c r="H21" s="112"/>
      <c r="I21" s="112"/>
      <c r="J21" s="112"/>
      <c r="K21" s="112"/>
      <c r="L21" s="115"/>
      <c r="M21" s="113">
        <f>3200-F21-I21</f>
        <v>48</v>
      </c>
      <c r="N21" s="113">
        <f>F21+H21+I21+J21+K21+L21+M21</f>
        <v>3200</v>
      </c>
      <c r="O21" s="114">
        <f aca="true" t="shared" si="0" ref="O21:O52">N21*12</f>
        <v>38400</v>
      </c>
    </row>
    <row r="22" spans="1:15" ht="22.5" customHeight="1">
      <c r="A22" s="108">
        <f>A21+1</f>
        <v>2</v>
      </c>
      <c r="B22" s="109" t="s">
        <v>137</v>
      </c>
      <c r="C22" s="141" t="s">
        <v>170</v>
      </c>
      <c r="D22" s="110">
        <v>1</v>
      </c>
      <c r="E22" s="110">
        <v>11</v>
      </c>
      <c r="F22" s="110">
        <v>3152</v>
      </c>
      <c r="G22" s="111"/>
      <c r="H22" s="112"/>
      <c r="I22" s="112"/>
      <c r="J22" s="112"/>
      <c r="K22" s="112"/>
      <c r="L22" s="115"/>
      <c r="M22" s="113">
        <f>3200-F22-I22</f>
        <v>48</v>
      </c>
      <c r="N22" s="113">
        <f>F22+H22+I22+J22+K22+L22+M22</f>
        <v>3200</v>
      </c>
      <c r="O22" s="114">
        <f t="shared" si="0"/>
        <v>38400</v>
      </c>
    </row>
    <row r="23" spans="1:15" ht="22.5" customHeight="1">
      <c r="A23" s="108">
        <f>A22+1</f>
        <v>3</v>
      </c>
      <c r="B23" s="109" t="s">
        <v>137</v>
      </c>
      <c r="C23" s="141" t="s">
        <v>171</v>
      </c>
      <c r="D23" s="117">
        <v>1</v>
      </c>
      <c r="E23" s="117">
        <v>11</v>
      </c>
      <c r="F23" s="117">
        <v>3152</v>
      </c>
      <c r="G23" s="118"/>
      <c r="H23" s="119"/>
      <c r="I23" s="119"/>
      <c r="J23" s="119"/>
      <c r="K23" s="119"/>
      <c r="L23" s="119"/>
      <c r="M23" s="113">
        <f>3200-F23-I23</f>
        <v>48</v>
      </c>
      <c r="N23" s="113">
        <f>F23+H23+I23+J23+K23+L23+M23</f>
        <v>3200</v>
      </c>
      <c r="O23" s="114">
        <f t="shared" si="0"/>
        <v>38400</v>
      </c>
    </row>
    <row r="24" spans="1:15" ht="22.5" customHeight="1">
      <c r="A24" s="108">
        <f aca="true" t="shared" si="1" ref="A24:A52">A23+1</f>
        <v>4</v>
      </c>
      <c r="B24" s="109" t="s">
        <v>125</v>
      </c>
      <c r="C24" s="141" t="s">
        <v>168</v>
      </c>
      <c r="D24" s="110">
        <v>1</v>
      </c>
      <c r="E24" s="110">
        <v>15</v>
      </c>
      <c r="F24" s="110">
        <v>4128</v>
      </c>
      <c r="G24" s="111"/>
      <c r="H24" s="112"/>
      <c r="I24" s="112"/>
      <c r="J24" s="112"/>
      <c r="K24" s="112"/>
      <c r="L24" s="111"/>
      <c r="M24" s="114"/>
      <c r="N24" s="113">
        <f>F24+H24+I24+J24+K24+L24+M24</f>
        <v>4128</v>
      </c>
      <c r="O24" s="114">
        <f t="shared" si="0"/>
        <v>49536</v>
      </c>
    </row>
    <row r="25" spans="1:15" ht="22.5" customHeight="1">
      <c r="A25" s="108">
        <f t="shared" si="1"/>
        <v>5</v>
      </c>
      <c r="B25" s="109" t="s">
        <v>141</v>
      </c>
      <c r="C25" s="141" t="s">
        <v>178</v>
      </c>
      <c r="D25" s="117">
        <v>1</v>
      </c>
      <c r="E25" s="117">
        <v>2</v>
      </c>
      <c r="F25" s="117">
        <f>1744</f>
        <v>1744</v>
      </c>
      <c r="G25" s="118"/>
      <c r="H25" s="119"/>
      <c r="I25" s="119"/>
      <c r="J25" s="119"/>
      <c r="K25" s="119"/>
      <c r="L25" s="114">
        <f>F25*10/100</f>
        <v>174.4</v>
      </c>
      <c r="M25" s="114">
        <f>3200-H25-I25-J25-F25</f>
        <v>1456</v>
      </c>
      <c r="N25" s="113">
        <f>F25+H25+I25+J25+K25+L25+M25</f>
        <v>3374.4</v>
      </c>
      <c r="O25" s="114">
        <f t="shared" si="0"/>
        <v>40492.8</v>
      </c>
    </row>
    <row r="26" spans="1:15" ht="22.5" customHeight="1">
      <c r="A26" s="108">
        <f t="shared" si="1"/>
        <v>6</v>
      </c>
      <c r="B26" s="109" t="s">
        <v>133</v>
      </c>
      <c r="C26" s="142"/>
      <c r="D26" s="110">
        <v>1</v>
      </c>
      <c r="E26" s="110">
        <v>10</v>
      </c>
      <c r="F26" s="110">
        <f>2912</f>
        <v>2912</v>
      </c>
      <c r="G26" s="116"/>
      <c r="H26" s="112"/>
      <c r="I26" s="112"/>
      <c r="J26" s="112"/>
      <c r="K26" s="112"/>
      <c r="L26" s="115"/>
      <c r="M26" s="114">
        <f>3200-H26-I26-J26-F26</f>
        <v>288</v>
      </c>
      <c r="N26" s="113">
        <f aca="true" t="shared" si="2" ref="N26:N52">F26+H26+I26+J26+K26+L26+M26</f>
        <v>3200</v>
      </c>
      <c r="O26" s="114">
        <f t="shared" si="0"/>
        <v>38400</v>
      </c>
    </row>
    <row r="27" spans="1:15" ht="22.5" customHeight="1">
      <c r="A27" s="108">
        <f t="shared" si="1"/>
        <v>7</v>
      </c>
      <c r="B27" s="109" t="s">
        <v>126</v>
      </c>
      <c r="C27" s="141" t="s">
        <v>155</v>
      </c>
      <c r="D27" s="110">
        <v>1</v>
      </c>
      <c r="E27" s="110">
        <v>15</v>
      </c>
      <c r="F27" s="110">
        <v>4128</v>
      </c>
      <c r="G27" s="111"/>
      <c r="H27" s="112"/>
      <c r="I27" s="113">
        <f aca="true" t="shared" si="3" ref="I27:I33">F27*25/100</f>
        <v>1032</v>
      </c>
      <c r="J27" s="113"/>
      <c r="K27" s="112"/>
      <c r="L27" s="111"/>
      <c r="M27" s="114"/>
      <c r="N27" s="113">
        <f t="shared" si="2"/>
        <v>5160</v>
      </c>
      <c r="O27" s="114">
        <f t="shared" si="0"/>
        <v>61920</v>
      </c>
    </row>
    <row r="28" spans="1:15" ht="22.5" customHeight="1">
      <c r="A28" s="108">
        <f t="shared" si="1"/>
        <v>8</v>
      </c>
      <c r="B28" s="109" t="s">
        <v>128</v>
      </c>
      <c r="C28" s="141" t="s">
        <v>156</v>
      </c>
      <c r="D28" s="110">
        <v>1</v>
      </c>
      <c r="E28" s="110">
        <v>12</v>
      </c>
      <c r="F28" s="110">
        <v>3392</v>
      </c>
      <c r="G28" s="111"/>
      <c r="H28" s="113"/>
      <c r="I28" s="113">
        <f t="shared" si="3"/>
        <v>848</v>
      </c>
      <c r="J28" s="113">
        <v>2120</v>
      </c>
      <c r="K28" s="112"/>
      <c r="L28" s="113"/>
      <c r="M28" s="114"/>
      <c r="N28" s="113">
        <f t="shared" si="2"/>
        <v>6360</v>
      </c>
      <c r="O28" s="114">
        <f t="shared" si="0"/>
        <v>76320</v>
      </c>
    </row>
    <row r="29" spans="1:15" ht="22.5" customHeight="1">
      <c r="A29" s="108">
        <f t="shared" si="1"/>
        <v>9</v>
      </c>
      <c r="B29" s="109" t="s">
        <v>142</v>
      </c>
      <c r="C29" s="141" t="s">
        <v>153</v>
      </c>
      <c r="D29" s="117">
        <v>1</v>
      </c>
      <c r="E29" s="117">
        <v>2</v>
      </c>
      <c r="F29" s="117">
        <v>1744</v>
      </c>
      <c r="G29" s="118"/>
      <c r="H29" s="119"/>
      <c r="I29" s="119">
        <f t="shared" si="3"/>
        <v>436</v>
      </c>
      <c r="J29" s="119"/>
      <c r="K29" s="119"/>
      <c r="L29" s="114">
        <f>(F29+I29)*10/100</f>
        <v>218</v>
      </c>
      <c r="M29" s="114">
        <f>3200-H29-I29-J29-F29</f>
        <v>1020</v>
      </c>
      <c r="N29" s="113">
        <f t="shared" si="2"/>
        <v>3418</v>
      </c>
      <c r="O29" s="114">
        <f t="shared" si="0"/>
        <v>41016</v>
      </c>
    </row>
    <row r="30" spans="1:15" ht="22.5" customHeight="1">
      <c r="A30" s="108">
        <f t="shared" si="1"/>
        <v>10</v>
      </c>
      <c r="B30" s="109" t="s">
        <v>131</v>
      </c>
      <c r="C30" s="141" t="s">
        <v>154</v>
      </c>
      <c r="D30" s="110">
        <v>0.5</v>
      </c>
      <c r="E30" s="110">
        <v>10</v>
      </c>
      <c r="F30" s="110">
        <f>2912/2</f>
        <v>1456</v>
      </c>
      <c r="G30" s="116"/>
      <c r="H30" s="112"/>
      <c r="I30" s="112">
        <f t="shared" si="3"/>
        <v>364</v>
      </c>
      <c r="J30" s="112"/>
      <c r="K30" s="112"/>
      <c r="L30" s="115"/>
      <c r="M30" s="114"/>
      <c r="N30" s="113">
        <f t="shared" si="2"/>
        <v>1820</v>
      </c>
      <c r="O30" s="114">
        <f t="shared" si="0"/>
        <v>21840</v>
      </c>
    </row>
    <row r="31" spans="1:15" ht="22.5" customHeight="1">
      <c r="A31" s="108">
        <f t="shared" si="1"/>
        <v>11</v>
      </c>
      <c r="B31" s="109" t="s">
        <v>142</v>
      </c>
      <c r="C31" s="141" t="s">
        <v>157</v>
      </c>
      <c r="D31" s="117">
        <v>0.25</v>
      </c>
      <c r="E31" s="117">
        <v>2</v>
      </c>
      <c r="F31" s="117">
        <f>1744/4</f>
        <v>436</v>
      </c>
      <c r="G31" s="118"/>
      <c r="H31" s="119"/>
      <c r="I31" s="119">
        <f t="shared" si="3"/>
        <v>109</v>
      </c>
      <c r="J31" s="119"/>
      <c r="K31" s="119"/>
      <c r="L31" s="114">
        <f>(F31+I31)*10/100</f>
        <v>54.5</v>
      </c>
      <c r="M31" s="114">
        <f>3200*0.25-H31-I31-J31-F31</f>
        <v>255</v>
      </c>
      <c r="N31" s="113">
        <f t="shared" si="2"/>
        <v>854.5</v>
      </c>
      <c r="O31" s="114">
        <f t="shared" si="0"/>
        <v>10254</v>
      </c>
    </row>
    <row r="32" spans="1:15" ht="22.5" customHeight="1">
      <c r="A32" s="108">
        <f t="shared" si="1"/>
        <v>12</v>
      </c>
      <c r="B32" s="109" t="s">
        <v>132</v>
      </c>
      <c r="C32" s="141" t="s">
        <v>172</v>
      </c>
      <c r="D32" s="110">
        <v>1</v>
      </c>
      <c r="E32" s="110">
        <v>9</v>
      </c>
      <c r="F32" s="110">
        <v>2768</v>
      </c>
      <c r="G32" s="116"/>
      <c r="H32" s="112"/>
      <c r="I32" s="113">
        <f t="shared" si="3"/>
        <v>692</v>
      </c>
      <c r="J32" s="113"/>
      <c r="K32" s="112"/>
      <c r="L32" s="115"/>
      <c r="M32" s="113"/>
      <c r="N32" s="113">
        <f t="shared" si="2"/>
        <v>3460</v>
      </c>
      <c r="O32" s="114">
        <f t="shared" si="0"/>
        <v>41520</v>
      </c>
    </row>
    <row r="33" spans="1:15" ht="22.5" customHeight="1">
      <c r="A33" s="108">
        <f t="shared" si="1"/>
        <v>13</v>
      </c>
      <c r="B33" s="109" t="s">
        <v>142</v>
      </c>
      <c r="C33" s="141" t="s">
        <v>158</v>
      </c>
      <c r="D33" s="117">
        <v>0.25</v>
      </c>
      <c r="E33" s="117">
        <v>2</v>
      </c>
      <c r="F33" s="117">
        <f>1744/4</f>
        <v>436</v>
      </c>
      <c r="G33" s="118"/>
      <c r="H33" s="119"/>
      <c r="I33" s="119">
        <f t="shared" si="3"/>
        <v>109</v>
      </c>
      <c r="J33" s="119"/>
      <c r="K33" s="119"/>
      <c r="L33" s="114">
        <f>(F33+I33)*10/100</f>
        <v>54.5</v>
      </c>
      <c r="M33" s="114">
        <f>3200*D33-F33-H33-I33-J33</f>
        <v>255</v>
      </c>
      <c r="N33" s="113">
        <f t="shared" si="2"/>
        <v>854.5</v>
      </c>
      <c r="O33" s="114">
        <f t="shared" si="0"/>
        <v>10254</v>
      </c>
    </row>
    <row r="34" spans="1:15" ht="22.5" customHeight="1">
      <c r="A34" s="108">
        <f t="shared" si="1"/>
        <v>14</v>
      </c>
      <c r="B34" s="109" t="s">
        <v>127</v>
      </c>
      <c r="C34" s="141" t="s">
        <v>164</v>
      </c>
      <c r="D34" s="110">
        <v>1</v>
      </c>
      <c r="E34" s="110">
        <v>14</v>
      </c>
      <c r="F34" s="110">
        <v>3872</v>
      </c>
      <c r="G34" s="111">
        <v>0.2</v>
      </c>
      <c r="H34" s="113">
        <f>F34*G34</f>
        <v>774.4000000000001</v>
      </c>
      <c r="I34" s="112"/>
      <c r="J34" s="112"/>
      <c r="K34" s="112"/>
      <c r="L34" s="113"/>
      <c r="M34" s="114"/>
      <c r="N34" s="113">
        <f t="shared" si="2"/>
        <v>4646.4</v>
      </c>
      <c r="O34" s="114">
        <f t="shared" si="0"/>
        <v>55756.799999999996</v>
      </c>
    </row>
    <row r="35" spans="1:15" ht="22.5" customHeight="1">
      <c r="A35" s="108">
        <f t="shared" si="1"/>
        <v>15</v>
      </c>
      <c r="B35" s="109" t="s">
        <v>129</v>
      </c>
      <c r="C35" s="141" t="s">
        <v>161</v>
      </c>
      <c r="D35" s="110">
        <v>1</v>
      </c>
      <c r="E35" s="110">
        <v>9</v>
      </c>
      <c r="F35" s="110">
        <v>2768</v>
      </c>
      <c r="G35" s="111"/>
      <c r="H35" s="113"/>
      <c r="I35" s="112"/>
      <c r="J35" s="112"/>
      <c r="K35" s="112"/>
      <c r="L35" s="115"/>
      <c r="M35" s="114">
        <f aca="true" t="shared" si="4" ref="M35:M51">3200*D35-F35-H35-I35-J35</f>
        <v>432</v>
      </c>
      <c r="N35" s="113">
        <f t="shared" si="2"/>
        <v>3200</v>
      </c>
      <c r="O35" s="114">
        <f t="shared" si="0"/>
        <v>38400</v>
      </c>
    </row>
    <row r="36" spans="1:15" ht="22.5" customHeight="1">
      <c r="A36" s="108">
        <f t="shared" si="1"/>
        <v>16</v>
      </c>
      <c r="B36" s="109" t="s">
        <v>143</v>
      </c>
      <c r="C36" s="141" t="s">
        <v>163</v>
      </c>
      <c r="D36" s="117">
        <v>1</v>
      </c>
      <c r="E36" s="117">
        <v>2</v>
      </c>
      <c r="F36" s="117">
        <v>1744</v>
      </c>
      <c r="G36" s="118"/>
      <c r="H36" s="119"/>
      <c r="I36" s="119"/>
      <c r="J36" s="119"/>
      <c r="K36" s="119"/>
      <c r="L36" s="114">
        <f>F36*10/100</f>
        <v>174.4</v>
      </c>
      <c r="M36" s="114">
        <f t="shared" si="4"/>
        <v>1456</v>
      </c>
      <c r="N36" s="113">
        <f t="shared" si="2"/>
        <v>3374.4</v>
      </c>
      <c r="O36" s="114">
        <f t="shared" si="0"/>
        <v>40492.8</v>
      </c>
    </row>
    <row r="37" spans="1:15" ht="22.5" customHeight="1">
      <c r="A37" s="108">
        <f t="shared" si="1"/>
        <v>17</v>
      </c>
      <c r="B37" s="109" t="s">
        <v>143</v>
      </c>
      <c r="C37" s="141" t="s">
        <v>162</v>
      </c>
      <c r="D37" s="117">
        <v>0.5</v>
      </c>
      <c r="E37" s="117">
        <v>2</v>
      </c>
      <c r="F37" s="117">
        <f>1744/2</f>
        <v>872</v>
      </c>
      <c r="G37" s="118"/>
      <c r="H37" s="119"/>
      <c r="I37" s="119"/>
      <c r="J37" s="119"/>
      <c r="K37" s="119"/>
      <c r="L37" s="172">
        <f>F37*10/100</f>
        <v>87.2</v>
      </c>
      <c r="M37" s="114">
        <f t="shared" si="4"/>
        <v>728</v>
      </c>
      <c r="N37" s="113">
        <f t="shared" si="2"/>
        <v>1687.2</v>
      </c>
      <c r="O37" s="114">
        <f t="shared" si="0"/>
        <v>20246.4</v>
      </c>
    </row>
    <row r="38" spans="1:15" ht="22.5" customHeight="1">
      <c r="A38" s="108">
        <f t="shared" si="1"/>
        <v>18</v>
      </c>
      <c r="B38" s="109" t="s">
        <v>146</v>
      </c>
      <c r="C38" s="141" t="s">
        <v>165</v>
      </c>
      <c r="D38" s="117">
        <v>1</v>
      </c>
      <c r="E38" s="117">
        <v>3</v>
      </c>
      <c r="F38" s="117">
        <v>1888</v>
      </c>
      <c r="G38" s="118"/>
      <c r="H38" s="119"/>
      <c r="I38" s="119"/>
      <c r="J38" s="119"/>
      <c r="K38" s="114">
        <v>400</v>
      </c>
      <c r="L38" s="119"/>
      <c r="M38" s="114">
        <f t="shared" si="4"/>
        <v>1312</v>
      </c>
      <c r="N38" s="113">
        <f t="shared" si="2"/>
        <v>3600</v>
      </c>
      <c r="O38" s="114">
        <f>N38*6</f>
        <v>21600</v>
      </c>
    </row>
    <row r="39" spans="1:15" ht="22.5" customHeight="1">
      <c r="A39" s="108">
        <f t="shared" si="1"/>
        <v>19</v>
      </c>
      <c r="B39" s="109" t="s">
        <v>130</v>
      </c>
      <c r="C39" s="141" t="s">
        <v>160</v>
      </c>
      <c r="D39" s="110">
        <v>1</v>
      </c>
      <c r="E39" s="110">
        <v>11</v>
      </c>
      <c r="F39" s="110">
        <v>3152</v>
      </c>
      <c r="G39" s="116"/>
      <c r="H39" s="113"/>
      <c r="I39" s="112"/>
      <c r="J39" s="112"/>
      <c r="K39" s="112"/>
      <c r="L39" s="115"/>
      <c r="M39" s="114">
        <f t="shared" si="4"/>
        <v>48</v>
      </c>
      <c r="N39" s="113">
        <f t="shared" si="2"/>
        <v>3200</v>
      </c>
      <c r="O39" s="114">
        <f t="shared" si="0"/>
        <v>38400</v>
      </c>
    </row>
    <row r="40" spans="1:15" ht="22.5" customHeight="1">
      <c r="A40" s="108">
        <f t="shared" si="1"/>
        <v>20</v>
      </c>
      <c r="B40" s="109" t="s">
        <v>144</v>
      </c>
      <c r="C40" s="141" t="s">
        <v>159</v>
      </c>
      <c r="D40" s="117">
        <v>0.5</v>
      </c>
      <c r="E40" s="117">
        <v>2</v>
      </c>
      <c r="F40" s="117">
        <f>1744/2</f>
        <v>872</v>
      </c>
      <c r="G40" s="118"/>
      <c r="H40" s="119"/>
      <c r="I40" s="119"/>
      <c r="J40" s="119"/>
      <c r="K40" s="119"/>
      <c r="L40" s="114">
        <f>F40*10/100</f>
        <v>87.2</v>
      </c>
      <c r="M40" s="114">
        <f t="shared" si="4"/>
        <v>728</v>
      </c>
      <c r="N40" s="113">
        <f t="shared" si="2"/>
        <v>1687.2</v>
      </c>
      <c r="O40" s="114">
        <f t="shared" si="0"/>
        <v>20246.4</v>
      </c>
    </row>
    <row r="41" spans="1:15" ht="22.5" customHeight="1">
      <c r="A41" s="108">
        <f t="shared" si="1"/>
        <v>21</v>
      </c>
      <c r="B41" s="109" t="s">
        <v>134</v>
      </c>
      <c r="C41" s="141" t="s">
        <v>174</v>
      </c>
      <c r="D41" s="110">
        <v>0.5</v>
      </c>
      <c r="E41" s="110">
        <v>9</v>
      </c>
      <c r="F41" s="110">
        <f>2768/2</f>
        <v>1384</v>
      </c>
      <c r="G41" s="116"/>
      <c r="H41" s="112"/>
      <c r="I41" s="112"/>
      <c r="J41" s="112"/>
      <c r="K41" s="112"/>
      <c r="L41" s="115"/>
      <c r="M41" s="114">
        <f t="shared" si="4"/>
        <v>216</v>
      </c>
      <c r="N41" s="113">
        <f t="shared" si="2"/>
        <v>1600</v>
      </c>
      <c r="O41" s="114">
        <f t="shared" si="0"/>
        <v>19200</v>
      </c>
    </row>
    <row r="42" spans="1:15" ht="22.5" customHeight="1">
      <c r="A42" s="108">
        <f t="shared" si="1"/>
        <v>22</v>
      </c>
      <c r="B42" s="109" t="s">
        <v>140</v>
      </c>
      <c r="C42" s="141" t="s">
        <v>202</v>
      </c>
      <c r="D42" s="110">
        <v>1</v>
      </c>
      <c r="E42" s="117">
        <v>1</v>
      </c>
      <c r="F42" s="120">
        <v>1600</v>
      </c>
      <c r="G42" s="118"/>
      <c r="H42" s="119"/>
      <c r="I42" s="119"/>
      <c r="J42" s="119"/>
      <c r="K42" s="119"/>
      <c r="L42" s="114">
        <f>F42*10/100</f>
        <v>160</v>
      </c>
      <c r="M42" s="114">
        <f t="shared" si="4"/>
        <v>1600</v>
      </c>
      <c r="N42" s="113">
        <f t="shared" si="2"/>
        <v>3360</v>
      </c>
      <c r="O42" s="114">
        <f t="shared" si="0"/>
        <v>40320</v>
      </c>
    </row>
    <row r="43" spans="1:15" ht="22.5" customHeight="1">
      <c r="A43" s="108">
        <f t="shared" si="1"/>
        <v>23</v>
      </c>
      <c r="B43" s="109" t="s">
        <v>198</v>
      </c>
      <c r="C43" s="142" t="s">
        <v>203</v>
      </c>
      <c r="D43" s="110">
        <v>1</v>
      </c>
      <c r="E43" s="110">
        <v>10</v>
      </c>
      <c r="F43" s="110">
        <v>2912</v>
      </c>
      <c r="G43" s="111"/>
      <c r="H43" s="112"/>
      <c r="I43" s="112"/>
      <c r="J43" s="112"/>
      <c r="K43" s="112"/>
      <c r="L43" s="115"/>
      <c r="M43" s="114">
        <f t="shared" si="4"/>
        <v>288</v>
      </c>
      <c r="N43" s="113">
        <f t="shared" si="2"/>
        <v>3200</v>
      </c>
      <c r="O43" s="114">
        <f t="shared" si="0"/>
        <v>38400</v>
      </c>
    </row>
    <row r="44" spans="1:15" ht="22.5" customHeight="1">
      <c r="A44" s="108">
        <f t="shared" si="1"/>
        <v>24</v>
      </c>
      <c r="B44" s="171" t="s">
        <v>199</v>
      </c>
      <c r="C44" s="174"/>
      <c r="D44" s="117">
        <v>0.5</v>
      </c>
      <c r="E44" s="117">
        <v>2</v>
      </c>
      <c r="F44" s="117">
        <f>1744/2</f>
        <v>872</v>
      </c>
      <c r="G44" s="118"/>
      <c r="H44" s="119"/>
      <c r="I44" s="119"/>
      <c r="J44" s="119"/>
      <c r="K44" s="119"/>
      <c r="L44" s="114">
        <f>F44*10/100</f>
        <v>87.2</v>
      </c>
      <c r="M44" s="114">
        <f t="shared" si="4"/>
        <v>728</v>
      </c>
      <c r="N44" s="113">
        <f t="shared" si="2"/>
        <v>1687.2</v>
      </c>
      <c r="O44" s="114">
        <f t="shared" si="0"/>
        <v>20246.4</v>
      </c>
    </row>
    <row r="45" spans="1:15" ht="22.5" customHeight="1">
      <c r="A45" s="108">
        <f t="shared" si="1"/>
        <v>25</v>
      </c>
      <c r="B45" s="109" t="s">
        <v>152</v>
      </c>
      <c r="C45" s="141" t="s">
        <v>167</v>
      </c>
      <c r="D45" s="110">
        <v>1</v>
      </c>
      <c r="E45" s="110">
        <v>10</v>
      </c>
      <c r="F45" s="110">
        <v>2912</v>
      </c>
      <c r="G45" s="111"/>
      <c r="H45" s="112"/>
      <c r="I45" s="112"/>
      <c r="J45" s="112"/>
      <c r="K45" s="112"/>
      <c r="L45" s="115"/>
      <c r="M45" s="114">
        <f t="shared" si="4"/>
        <v>288</v>
      </c>
      <c r="N45" s="113">
        <f t="shared" si="2"/>
        <v>3200</v>
      </c>
      <c r="O45" s="114">
        <f t="shared" si="0"/>
        <v>38400</v>
      </c>
    </row>
    <row r="46" spans="1:15" ht="22.5" customHeight="1">
      <c r="A46" s="108">
        <f t="shared" si="1"/>
        <v>26</v>
      </c>
      <c r="B46" s="109" t="s">
        <v>151</v>
      </c>
      <c r="C46" s="141" t="s">
        <v>177</v>
      </c>
      <c r="D46" s="117">
        <v>0.5</v>
      </c>
      <c r="E46" s="117">
        <v>1</v>
      </c>
      <c r="F46" s="117">
        <f>1600/2</f>
        <v>800</v>
      </c>
      <c r="G46" s="118"/>
      <c r="H46" s="119"/>
      <c r="I46" s="119"/>
      <c r="J46" s="119"/>
      <c r="K46" s="119"/>
      <c r="L46" s="114">
        <f>F46*10/100</f>
        <v>80</v>
      </c>
      <c r="M46" s="114">
        <f t="shared" si="4"/>
        <v>800</v>
      </c>
      <c r="N46" s="113">
        <f t="shared" si="2"/>
        <v>1680</v>
      </c>
      <c r="O46" s="114">
        <f t="shared" si="0"/>
        <v>20160</v>
      </c>
    </row>
    <row r="47" spans="1:15" ht="22.5" customHeight="1">
      <c r="A47" s="108">
        <f t="shared" si="1"/>
        <v>27</v>
      </c>
      <c r="B47" s="109" t="s">
        <v>135</v>
      </c>
      <c r="C47" s="141" t="s">
        <v>166</v>
      </c>
      <c r="D47" s="110">
        <v>1</v>
      </c>
      <c r="E47" s="110">
        <v>10</v>
      </c>
      <c r="F47" s="110">
        <v>2912</v>
      </c>
      <c r="G47" s="111"/>
      <c r="H47" s="112"/>
      <c r="I47" s="112"/>
      <c r="J47" s="112"/>
      <c r="K47" s="112"/>
      <c r="L47" s="115"/>
      <c r="M47" s="114">
        <f t="shared" si="4"/>
        <v>288</v>
      </c>
      <c r="N47" s="113">
        <f t="shared" si="2"/>
        <v>3200</v>
      </c>
      <c r="O47" s="114">
        <f t="shared" si="0"/>
        <v>38400</v>
      </c>
    </row>
    <row r="48" spans="1:15" ht="22.5" customHeight="1">
      <c r="A48" s="108">
        <f t="shared" si="1"/>
        <v>28</v>
      </c>
      <c r="B48" s="109" t="s">
        <v>139</v>
      </c>
      <c r="C48" s="141" t="s">
        <v>173</v>
      </c>
      <c r="D48" s="117">
        <v>1</v>
      </c>
      <c r="E48" s="117">
        <v>1</v>
      </c>
      <c r="F48" s="117">
        <v>1600</v>
      </c>
      <c r="G48" s="118"/>
      <c r="H48" s="119"/>
      <c r="I48" s="119"/>
      <c r="J48" s="119"/>
      <c r="K48" s="119"/>
      <c r="L48" s="114">
        <f>F48*10/100</f>
        <v>160</v>
      </c>
      <c r="M48" s="114">
        <f t="shared" si="4"/>
        <v>1600</v>
      </c>
      <c r="N48" s="113">
        <f t="shared" si="2"/>
        <v>3360</v>
      </c>
      <c r="O48" s="114">
        <f t="shared" si="0"/>
        <v>40320</v>
      </c>
    </row>
    <row r="49" spans="1:15" ht="22.5" customHeight="1">
      <c r="A49" s="108">
        <f t="shared" si="1"/>
        <v>29</v>
      </c>
      <c r="B49" s="109" t="s">
        <v>145</v>
      </c>
      <c r="C49" s="141" t="s">
        <v>175</v>
      </c>
      <c r="D49" s="117">
        <v>1</v>
      </c>
      <c r="E49" s="117">
        <v>5</v>
      </c>
      <c r="F49" s="117">
        <v>2176</v>
      </c>
      <c r="G49" s="118"/>
      <c r="H49" s="119"/>
      <c r="I49" s="119"/>
      <c r="J49" s="119"/>
      <c r="K49" s="114">
        <v>636</v>
      </c>
      <c r="L49" s="119"/>
      <c r="M49" s="114">
        <f t="shared" si="4"/>
        <v>1024</v>
      </c>
      <c r="N49" s="113">
        <f t="shared" si="2"/>
        <v>3836</v>
      </c>
      <c r="O49" s="114">
        <f>N49*6</f>
        <v>23016</v>
      </c>
    </row>
    <row r="50" spans="1:15" ht="22.5" customHeight="1">
      <c r="A50" s="108">
        <f t="shared" si="1"/>
        <v>30</v>
      </c>
      <c r="B50" s="109" t="s">
        <v>136</v>
      </c>
      <c r="C50" s="141" t="s">
        <v>204</v>
      </c>
      <c r="D50" s="110">
        <v>1</v>
      </c>
      <c r="E50" s="110">
        <v>10</v>
      </c>
      <c r="F50" s="110">
        <v>2912</v>
      </c>
      <c r="G50" s="111"/>
      <c r="H50" s="112"/>
      <c r="I50" s="112"/>
      <c r="J50" s="112"/>
      <c r="K50" s="112"/>
      <c r="L50" s="115"/>
      <c r="M50" s="114">
        <f t="shared" si="4"/>
        <v>288</v>
      </c>
      <c r="N50" s="113">
        <f t="shared" si="2"/>
        <v>3200</v>
      </c>
      <c r="O50" s="114">
        <f t="shared" si="0"/>
        <v>38400</v>
      </c>
    </row>
    <row r="51" spans="1:15" ht="22.5" customHeight="1">
      <c r="A51" s="108">
        <f t="shared" si="1"/>
        <v>31</v>
      </c>
      <c r="B51" s="109" t="s">
        <v>138</v>
      </c>
      <c r="C51" s="141" t="s">
        <v>176</v>
      </c>
      <c r="D51" s="117">
        <v>0.5</v>
      </c>
      <c r="E51" s="117">
        <v>1</v>
      </c>
      <c r="F51" s="117">
        <f>1600/2</f>
        <v>800</v>
      </c>
      <c r="G51" s="118"/>
      <c r="H51" s="119"/>
      <c r="I51" s="119"/>
      <c r="J51" s="119"/>
      <c r="K51" s="119"/>
      <c r="L51" s="114">
        <f>F51*10/100</f>
        <v>80</v>
      </c>
      <c r="M51" s="114">
        <f t="shared" si="4"/>
        <v>800</v>
      </c>
      <c r="N51" s="113">
        <f t="shared" si="2"/>
        <v>1680</v>
      </c>
      <c r="O51" s="114">
        <f t="shared" si="0"/>
        <v>20160</v>
      </c>
    </row>
    <row r="52" spans="1:15" ht="18.75" customHeight="1">
      <c r="A52" s="108">
        <f t="shared" si="1"/>
        <v>32</v>
      </c>
      <c r="B52" s="109" t="s">
        <v>41</v>
      </c>
      <c r="C52" s="141" t="s">
        <v>179</v>
      </c>
      <c r="D52" s="117">
        <v>1</v>
      </c>
      <c r="E52" s="117">
        <v>9</v>
      </c>
      <c r="F52" s="117">
        <v>2768</v>
      </c>
      <c r="G52" s="118"/>
      <c r="H52" s="119"/>
      <c r="I52" s="119"/>
      <c r="J52" s="114">
        <f>F52*50/100</f>
        <v>1384</v>
      </c>
      <c r="K52" s="114"/>
      <c r="L52" s="119"/>
      <c r="M52" s="114"/>
      <c r="N52" s="113">
        <f t="shared" si="2"/>
        <v>4152</v>
      </c>
      <c r="O52" s="114">
        <f t="shared" si="0"/>
        <v>49824</v>
      </c>
    </row>
    <row r="53" spans="1:15" ht="22.5" customHeight="1">
      <c r="A53" s="121"/>
      <c r="B53" s="122" t="s">
        <v>24</v>
      </c>
      <c r="C53" s="143"/>
      <c r="D53" s="146">
        <f>SUM(D21:D52)</f>
        <v>27</v>
      </c>
      <c r="E53" s="146">
        <f aca="true" t="shared" si="5" ref="E53:O53">SUM(E21:E52)</f>
        <v>224</v>
      </c>
      <c r="F53" s="146">
        <f t="shared" si="5"/>
        <v>71416</v>
      </c>
      <c r="G53" s="146">
        <f t="shared" si="5"/>
        <v>0.2</v>
      </c>
      <c r="H53" s="146">
        <f t="shared" si="5"/>
        <v>774.4000000000001</v>
      </c>
      <c r="I53" s="146">
        <f t="shared" si="5"/>
        <v>3590</v>
      </c>
      <c r="J53" s="146">
        <f t="shared" si="5"/>
        <v>3504</v>
      </c>
      <c r="K53" s="146">
        <f t="shared" si="5"/>
        <v>1036</v>
      </c>
      <c r="L53" s="146">
        <f t="shared" si="5"/>
        <v>1417.4</v>
      </c>
      <c r="M53" s="146">
        <f t="shared" si="5"/>
        <v>16042</v>
      </c>
      <c r="N53" s="146">
        <f t="shared" si="5"/>
        <v>97779.8</v>
      </c>
      <c r="O53" s="146">
        <f t="shared" si="5"/>
        <v>1128741.6</v>
      </c>
    </row>
    <row r="54" ht="12.75">
      <c r="N54" s="123"/>
    </row>
    <row r="55" spans="2:15" ht="27.75" customHeight="1">
      <c r="B55" s="274" t="s">
        <v>93</v>
      </c>
      <c r="C55" s="274"/>
      <c r="D55" s="274"/>
      <c r="E55" s="274"/>
      <c r="F55" s="274"/>
      <c r="G55" s="45"/>
      <c r="H55" s="45"/>
      <c r="I55" s="128"/>
      <c r="J55" s="128"/>
      <c r="K55" s="273" t="s">
        <v>104</v>
      </c>
      <c r="L55" s="273"/>
      <c r="M55" s="84"/>
      <c r="N55" s="84"/>
      <c r="O55" s="35"/>
    </row>
    <row r="56" spans="2:15" ht="12" customHeight="1">
      <c r="B56" s="46"/>
      <c r="C56" s="139"/>
      <c r="D56" s="46"/>
      <c r="E56" s="46"/>
      <c r="F56" s="46"/>
      <c r="G56" s="272" t="s">
        <v>102</v>
      </c>
      <c r="H56" s="272"/>
      <c r="I56" s="272"/>
      <c r="J56" s="272"/>
      <c r="K56" s="136"/>
      <c r="L56" s="136"/>
      <c r="M56" s="84"/>
      <c r="N56" s="84"/>
      <c r="O56" s="35"/>
    </row>
    <row r="57" spans="2:15" ht="27" customHeight="1">
      <c r="B57" s="274" t="s">
        <v>94</v>
      </c>
      <c r="C57" s="274"/>
      <c r="D57" s="274"/>
      <c r="E57" s="274"/>
      <c r="F57" s="274"/>
      <c r="G57" s="127"/>
      <c r="H57" s="128"/>
      <c r="I57" s="128"/>
      <c r="J57" s="128"/>
      <c r="K57" s="273" t="s">
        <v>112</v>
      </c>
      <c r="L57" s="273"/>
      <c r="M57" s="84"/>
      <c r="N57" s="84"/>
      <c r="O57" s="35"/>
    </row>
    <row r="58" spans="2:15" ht="12" customHeight="1">
      <c r="B58" s="4"/>
      <c r="C58" s="4"/>
      <c r="D58" s="4"/>
      <c r="E58" s="38"/>
      <c r="F58" s="38"/>
      <c r="G58" s="272" t="s">
        <v>102</v>
      </c>
      <c r="H58" s="272"/>
      <c r="I58" s="272"/>
      <c r="J58" s="272"/>
      <c r="K58" s="135"/>
      <c r="L58" s="135"/>
      <c r="M58" s="84"/>
      <c r="N58" s="84"/>
      <c r="O58" s="35"/>
    </row>
    <row r="59" spans="2:15" ht="15.75">
      <c r="B59" s="51"/>
      <c r="C59" s="140"/>
      <c r="D59" s="4"/>
      <c r="E59" s="38"/>
      <c r="F59" s="38"/>
      <c r="G59" s="35"/>
      <c r="H59" s="35" t="s">
        <v>75</v>
      </c>
      <c r="I59" s="35"/>
      <c r="J59" s="35"/>
      <c r="K59" s="35"/>
      <c r="L59" s="35"/>
      <c r="M59" s="35"/>
      <c r="N59" s="35"/>
      <c r="O59" s="35"/>
    </row>
    <row r="60" spans="2:15" ht="0.75" customHeight="1">
      <c r="B60" s="4"/>
      <c r="C60" s="4"/>
      <c r="D60" s="4"/>
      <c r="E60" s="38"/>
      <c r="F60" s="38"/>
      <c r="G60" s="35"/>
      <c r="H60" s="35"/>
      <c r="I60" s="35"/>
      <c r="J60" s="35"/>
      <c r="K60" s="35"/>
      <c r="L60" s="35"/>
      <c r="M60" s="35"/>
      <c r="N60" s="35"/>
      <c r="O60" s="35"/>
    </row>
    <row r="61" spans="2:15" ht="15.75">
      <c r="B61" s="137" t="s">
        <v>148</v>
      </c>
      <c r="C61" s="13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</sheetData>
  <sheetProtection/>
  <mergeCells count="28">
    <mergeCell ref="G58:J58"/>
    <mergeCell ref="K55:L55"/>
    <mergeCell ref="K57:L57"/>
    <mergeCell ref="B57:F57"/>
    <mergeCell ref="B55:F55"/>
    <mergeCell ref="G56:J56"/>
    <mergeCell ref="A19:A20"/>
    <mergeCell ref="B19:B20"/>
    <mergeCell ref="D19:D20"/>
    <mergeCell ref="E19:E20"/>
    <mergeCell ref="B17:G17"/>
    <mergeCell ref="B14:G14"/>
    <mergeCell ref="B15:G15"/>
    <mergeCell ref="I9:N9"/>
    <mergeCell ref="I10:N10"/>
    <mergeCell ref="H17:I17"/>
    <mergeCell ref="D13:F13"/>
    <mergeCell ref="I13:K13"/>
    <mergeCell ref="L15:N15"/>
    <mergeCell ref="L14:N14"/>
    <mergeCell ref="D11:F11"/>
    <mergeCell ref="D12:F12"/>
    <mergeCell ref="D16:F16"/>
    <mergeCell ref="O19:O20"/>
    <mergeCell ref="F19:F20"/>
    <mergeCell ref="G19:I19"/>
    <mergeCell ref="J19:M19"/>
    <mergeCell ref="N19:N20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66"/>
  <sheetViews>
    <sheetView zoomScalePageLayoutView="0" workbookViewId="0" topLeftCell="A11">
      <selection activeCell="AD16" sqref="AD16"/>
    </sheetView>
  </sheetViews>
  <sheetFormatPr defaultColWidth="9.00390625" defaultRowHeight="12.75"/>
  <cols>
    <col min="1" max="1" width="3.75390625" style="2" customWidth="1"/>
    <col min="2" max="2" width="47.625" style="3" customWidth="1"/>
    <col min="3" max="3" width="18.00390625" style="3" hidden="1" customWidth="1"/>
    <col min="4" max="4" width="16.125" style="7" hidden="1" customWidth="1"/>
    <col min="5" max="5" width="9.375" style="4" customWidth="1"/>
    <col min="6" max="6" width="12.75390625" style="5" customWidth="1"/>
    <col min="7" max="7" width="0.12890625" style="5" customWidth="1"/>
    <col min="8" max="8" width="10.75390625" style="5" customWidth="1"/>
    <col min="9" max="9" width="5.875" style="5" hidden="1" customWidth="1"/>
    <col min="10" max="10" width="9.00390625" style="5" customWidth="1"/>
    <col min="11" max="11" width="5.625" style="5" hidden="1" customWidth="1"/>
    <col min="12" max="12" width="12.375" style="5" customWidth="1"/>
    <col min="13" max="13" width="14.625" style="5" customWidth="1"/>
    <col min="14" max="14" width="10.625" style="5" customWidth="1"/>
    <col min="15" max="15" width="11.125" style="5" hidden="1" customWidth="1"/>
    <col min="16" max="17" width="10.75390625" style="5" hidden="1" customWidth="1"/>
    <col min="18" max="18" width="10.375" style="5" hidden="1" customWidth="1"/>
    <col min="19" max="19" width="7.875" style="5" hidden="1" customWidth="1"/>
    <col min="20" max="20" width="13.625" style="5" customWidth="1"/>
    <col min="21" max="21" width="15.125" style="5" customWidth="1"/>
    <col min="22" max="22" width="0" style="4" hidden="1" customWidth="1"/>
    <col min="23" max="23" width="8.75390625" style="4" hidden="1" customWidth="1"/>
    <col min="24" max="26" width="0" style="4" hidden="1" customWidth="1"/>
    <col min="27" max="27" width="3.375" style="4" hidden="1" customWidth="1"/>
    <col min="28" max="28" width="0" style="4" hidden="1" customWidth="1"/>
    <col min="29" max="29" width="3.375" style="4" customWidth="1"/>
    <col min="30" max="30" width="9.125" style="138" customWidth="1"/>
  </cols>
  <sheetData>
    <row r="2" spans="14:21" ht="12.75">
      <c r="N2" s="50"/>
      <c r="O2" s="50"/>
      <c r="P2" s="50"/>
      <c r="Q2" s="50"/>
      <c r="R2" s="50"/>
      <c r="S2" s="50"/>
      <c r="T2" s="6" t="s">
        <v>67</v>
      </c>
      <c r="U2" s="50"/>
    </row>
    <row r="3" spans="14:21" ht="12.75">
      <c r="N3" s="50"/>
      <c r="O3" s="50"/>
      <c r="P3" s="50"/>
      <c r="Q3" s="50"/>
      <c r="R3" s="50"/>
      <c r="S3" s="50"/>
      <c r="T3" s="50" t="s">
        <v>68</v>
      </c>
      <c r="U3" s="50"/>
    </row>
    <row r="4" spans="14:21" ht="12.75">
      <c r="N4" s="50"/>
      <c r="O4" s="50"/>
      <c r="P4" s="50"/>
      <c r="Q4" s="50"/>
      <c r="R4" s="50"/>
      <c r="S4" s="50"/>
      <c r="T4" s="50" t="s">
        <v>69</v>
      </c>
      <c r="U4" s="50"/>
    </row>
    <row r="5" spans="14:21" ht="12.75">
      <c r="N5" s="50"/>
      <c r="O5" s="50"/>
      <c r="P5" s="50"/>
      <c r="Q5" s="50"/>
      <c r="R5" s="50"/>
      <c r="S5" s="50"/>
      <c r="T5" s="50" t="s">
        <v>70</v>
      </c>
      <c r="U5" s="50"/>
    </row>
    <row r="6" spans="14:21" ht="12.75">
      <c r="N6" s="50"/>
      <c r="O6" s="50"/>
      <c r="P6" s="50"/>
      <c r="Q6" s="50"/>
      <c r="R6" s="50"/>
      <c r="S6" s="50"/>
      <c r="T6" s="50" t="s">
        <v>205</v>
      </c>
      <c r="U6" s="50"/>
    </row>
    <row r="8" spans="13:21" ht="16.5" customHeight="1">
      <c r="M8" s="287" t="s">
        <v>71</v>
      </c>
      <c r="N8" s="287"/>
      <c r="O8" s="287"/>
      <c r="P8" s="287"/>
      <c r="Q8" s="287"/>
      <c r="R8" s="287"/>
      <c r="S8" s="287"/>
      <c r="T8" s="287"/>
      <c r="U8" s="50"/>
    </row>
    <row r="9" spans="12:21" ht="17.25" customHeight="1">
      <c r="L9" s="39" t="s">
        <v>274</v>
      </c>
      <c r="M9" s="39"/>
      <c r="N9" s="39"/>
      <c r="O9" s="39"/>
      <c r="P9" s="39"/>
      <c r="Q9" s="39"/>
      <c r="R9" s="39"/>
      <c r="S9" s="39"/>
      <c r="T9" s="39"/>
      <c r="U9" s="39"/>
    </row>
    <row r="10" spans="2:21" ht="17.25" customHeight="1">
      <c r="B10" s="7"/>
      <c r="C10" s="7"/>
      <c r="E10" s="9"/>
      <c r="F10" s="10"/>
      <c r="G10" s="10"/>
      <c r="H10" s="10"/>
      <c r="I10" s="10"/>
      <c r="J10" s="10"/>
      <c r="K10" s="39"/>
      <c r="L10" s="12" t="s">
        <v>72</v>
      </c>
      <c r="M10" s="12"/>
      <c r="N10" s="13"/>
      <c r="O10" s="11"/>
      <c r="P10" s="13">
        <f>T133</f>
        <v>542649.61875</v>
      </c>
      <c r="Q10" s="11"/>
      <c r="R10" s="11"/>
      <c r="S10" s="11"/>
      <c r="T10" s="11"/>
      <c r="U10" s="125"/>
    </row>
    <row r="11" spans="2:21" ht="16.5" customHeight="1">
      <c r="B11" s="7"/>
      <c r="C11" s="7"/>
      <c r="E11" s="8"/>
      <c r="F11" s="10"/>
      <c r="G11" s="10"/>
      <c r="H11" s="125"/>
      <c r="I11" s="11"/>
      <c r="J11" s="11"/>
      <c r="K11" s="12"/>
      <c r="L11" s="206" t="s">
        <v>273</v>
      </c>
      <c r="M11" s="206"/>
      <c r="N11" s="206"/>
      <c r="O11" s="206"/>
      <c r="P11" s="206"/>
      <c r="Q11" s="206"/>
      <c r="R11" s="206"/>
      <c r="S11" s="206"/>
      <c r="T11" s="206"/>
      <c r="U11" s="206"/>
    </row>
    <row r="12" spans="2:21" ht="15.75" customHeight="1">
      <c r="B12" s="7"/>
      <c r="C12" s="7"/>
      <c r="E12" s="8"/>
      <c r="F12" s="10"/>
      <c r="G12" s="10"/>
      <c r="H12" s="10"/>
      <c r="I12" s="10"/>
      <c r="J12" s="10"/>
      <c r="K12" s="207"/>
      <c r="L12" s="208" t="s">
        <v>3</v>
      </c>
      <c r="M12" s="208"/>
      <c r="N12" s="208"/>
      <c r="O12" s="208"/>
      <c r="P12" s="208"/>
      <c r="Q12" s="208"/>
      <c r="R12" s="14"/>
      <c r="S12" s="10"/>
      <c r="T12" s="10"/>
      <c r="U12" s="10"/>
    </row>
    <row r="13" spans="2:21" ht="17.25" customHeight="1">
      <c r="B13" s="282" t="s">
        <v>74</v>
      </c>
      <c r="C13" s="282"/>
      <c r="D13" s="282"/>
      <c r="E13" s="282"/>
      <c r="F13" s="282"/>
      <c r="G13" s="282"/>
      <c r="H13" s="282"/>
      <c r="I13" s="10"/>
      <c r="J13" s="10"/>
      <c r="K13" s="209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15" customHeight="1">
      <c r="B14" s="282"/>
      <c r="C14" s="282"/>
      <c r="D14" s="282"/>
      <c r="E14" s="282"/>
      <c r="F14" s="282"/>
      <c r="G14" s="282"/>
      <c r="H14" s="282"/>
      <c r="I14" s="10"/>
      <c r="J14" s="10"/>
      <c r="K14" s="10"/>
      <c r="L14" s="40"/>
      <c r="M14" s="40"/>
      <c r="N14" s="15"/>
      <c r="O14" s="15"/>
      <c r="P14" s="15"/>
      <c r="Q14" s="15"/>
      <c r="R14" s="15"/>
      <c r="S14" s="15"/>
      <c r="T14" s="286" t="s">
        <v>73</v>
      </c>
      <c r="U14" s="286"/>
    </row>
    <row r="15" spans="2:22" ht="19.5" customHeight="1" hidden="1">
      <c r="B15" s="7"/>
      <c r="C15" s="7"/>
      <c r="E15" s="8"/>
      <c r="F15" s="10"/>
      <c r="G15" s="10"/>
      <c r="H15" s="10"/>
      <c r="I15" s="10"/>
      <c r="J15" s="10"/>
      <c r="K15" s="41"/>
      <c r="L15" s="40"/>
      <c r="M15" s="40"/>
      <c r="N15" s="202" t="s">
        <v>73</v>
      </c>
      <c r="O15" s="202"/>
      <c r="P15" s="202"/>
      <c r="Q15" s="202"/>
      <c r="R15" s="202"/>
      <c r="S15" s="202"/>
      <c r="T15" s="202"/>
      <c r="U15" s="15"/>
      <c r="V15" s="15"/>
    </row>
    <row r="16" spans="2:21" ht="23.25" customHeight="1">
      <c r="B16" s="285" t="s">
        <v>76</v>
      </c>
      <c r="C16" s="285"/>
      <c r="D16" s="285"/>
      <c r="E16" s="285"/>
      <c r="F16" s="285"/>
      <c r="G16" s="285"/>
      <c r="H16" s="285"/>
      <c r="I16" s="10"/>
      <c r="J16" s="10"/>
      <c r="K16" s="10"/>
      <c r="L16" s="10"/>
      <c r="M16" s="10" t="s">
        <v>75</v>
      </c>
      <c r="N16" s="10"/>
      <c r="O16" s="10"/>
      <c r="P16" s="10"/>
      <c r="Q16" s="10"/>
      <c r="R16" s="10" t="s">
        <v>2</v>
      </c>
      <c r="S16" s="10"/>
      <c r="T16" s="10"/>
      <c r="U16" s="10"/>
    </row>
    <row r="17" spans="2:21" ht="22.5" customHeight="1">
      <c r="B17" s="285" t="s">
        <v>77</v>
      </c>
      <c r="C17" s="285"/>
      <c r="D17" s="285"/>
      <c r="E17" s="285"/>
      <c r="F17" s="285"/>
      <c r="G17" s="285"/>
      <c r="H17" s="285"/>
      <c r="I17" s="10"/>
      <c r="J17" s="10"/>
      <c r="K17" s="10"/>
      <c r="L17" s="283">
        <v>42881</v>
      </c>
      <c r="M17" s="284"/>
      <c r="N17" s="10"/>
      <c r="O17" s="10"/>
      <c r="P17" s="10"/>
      <c r="Q17" s="10"/>
      <c r="R17" s="10"/>
      <c r="S17" s="10"/>
      <c r="T17" s="9"/>
      <c r="U17" s="10"/>
    </row>
    <row r="18" spans="2:21" ht="12" customHeight="1">
      <c r="B18" s="7"/>
      <c r="C18" s="7"/>
      <c r="E18" s="8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01"/>
    </row>
    <row r="19" spans="2:21" ht="10.5" customHeight="1" hidden="1">
      <c r="B19" s="7"/>
      <c r="C19" s="7"/>
      <c r="E19" s="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6" ht="24" customHeight="1">
      <c r="A20" s="266" t="s">
        <v>9</v>
      </c>
      <c r="B20" s="268" t="s">
        <v>98</v>
      </c>
      <c r="C20" s="17"/>
      <c r="D20" s="191"/>
      <c r="E20" s="256" t="s">
        <v>56</v>
      </c>
      <c r="F20" s="256" t="s">
        <v>57</v>
      </c>
      <c r="G20" s="258" t="s">
        <v>61</v>
      </c>
      <c r="H20" s="259"/>
      <c r="I20" s="259"/>
      <c r="J20" s="259"/>
      <c r="K20" s="259"/>
      <c r="L20" s="260"/>
      <c r="M20" s="258" t="s">
        <v>63</v>
      </c>
      <c r="N20" s="260"/>
      <c r="O20" s="280" t="s">
        <v>8</v>
      </c>
      <c r="P20" s="18"/>
      <c r="Q20" s="18"/>
      <c r="R20" s="18"/>
      <c r="S20" s="18" t="s">
        <v>42</v>
      </c>
      <c r="T20" s="256" t="s">
        <v>64</v>
      </c>
      <c r="U20" s="256" t="s">
        <v>65</v>
      </c>
      <c r="V20" s="19" t="s">
        <v>52</v>
      </c>
      <c r="W20" s="20" t="s">
        <v>54</v>
      </c>
      <c r="X20" s="20" t="s">
        <v>55</v>
      </c>
      <c r="Y20" s="19"/>
      <c r="Z20" s="19" t="s">
        <v>53</v>
      </c>
    </row>
    <row r="21" spans="1:26" ht="60.75" customHeight="1">
      <c r="A21" s="267"/>
      <c r="B21" s="269"/>
      <c r="C21" s="21"/>
      <c r="D21" s="192"/>
      <c r="E21" s="257"/>
      <c r="F21" s="257"/>
      <c r="G21" s="22" t="s">
        <v>5</v>
      </c>
      <c r="H21" s="18" t="s">
        <v>58</v>
      </c>
      <c r="I21" s="22" t="s">
        <v>51</v>
      </c>
      <c r="J21" s="18" t="s">
        <v>59</v>
      </c>
      <c r="K21" s="22" t="s">
        <v>6</v>
      </c>
      <c r="L21" s="18" t="s">
        <v>60</v>
      </c>
      <c r="M21" s="18" t="s">
        <v>62</v>
      </c>
      <c r="N21" s="18" t="s">
        <v>110</v>
      </c>
      <c r="O21" s="281"/>
      <c r="P21" s="18"/>
      <c r="Q21" s="18"/>
      <c r="R21" s="18"/>
      <c r="S21" s="18"/>
      <c r="T21" s="257"/>
      <c r="U21" s="257"/>
      <c r="V21" s="19"/>
      <c r="W21" s="20"/>
      <c r="X21" s="20"/>
      <c r="Y21" s="19"/>
      <c r="Z21" s="19"/>
    </row>
    <row r="22" spans="1:26" ht="19.5" customHeight="1" hidden="1">
      <c r="A22" s="16"/>
      <c r="B22" s="23" t="s">
        <v>11</v>
      </c>
      <c r="C22" s="23"/>
      <c r="D22" s="195"/>
      <c r="E22" s="21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5"/>
      <c r="Y22" s="25"/>
      <c r="Z22" s="25"/>
    </row>
    <row r="23" spans="1:26" ht="18" customHeight="1">
      <c r="A23" s="26">
        <v>1</v>
      </c>
      <c r="B23" s="185" t="s">
        <v>66</v>
      </c>
      <c r="C23" s="66"/>
      <c r="D23" s="193"/>
      <c r="E23" s="58">
        <v>1</v>
      </c>
      <c r="F23" s="62">
        <v>5300</v>
      </c>
      <c r="G23" s="61">
        <v>5</v>
      </c>
      <c r="H23" s="62">
        <v>130</v>
      </c>
      <c r="I23" s="61"/>
      <c r="J23" s="61"/>
      <c r="K23" s="63">
        <v>0.3</v>
      </c>
      <c r="L23" s="62">
        <f>(F23+H23)*K23</f>
        <v>1629</v>
      </c>
      <c r="M23" s="62">
        <f>(F23+H23+L23)*50%</f>
        <v>3529.5</v>
      </c>
      <c r="N23" s="62"/>
      <c r="O23" s="61"/>
      <c r="P23" s="61"/>
      <c r="Q23" s="61"/>
      <c r="R23" s="62"/>
      <c r="S23" s="62"/>
      <c r="T23" s="62">
        <f aca="true" t="shared" si="0" ref="T23:T58">F23+H23+L23+M23+R23+S23+P23+J23</f>
        <v>10588.5</v>
      </c>
      <c r="U23" s="62">
        <f>T23*12</f>
        <v>127062</v>
      </c>
      <c r="V23" s="25"/>
      <c r="W23" s="25"/>
      <c r="X23" s="25"/>
      <c r="Y23" s="25"/>
      <c r="Z23" s="25"/>
    </row>
    <row r="24" spans="1:30" s="105" customFormat="1" ht="18" customHeight="1">
      <c r="A24" s="26">
        <f>A23+1</f>
        <v>2</v>
      </c>
      <c r="B24" s="185" t="s">
        <v>84</v>
      </c>
      <c r="C24" s="68"/>
      <c r="D24" s="193"/>
      <c r="E24" s="58">
        <v>1</v>
      </c>
      <c r="F24" s="62">
        <v>4900</v>
      </c>
      <c r="G24" s="61">
        <v>5</v>
      </c>
      <c r="H24" s="62">
        <v>130</v>
      </c>
      <c r="I24" s="61"/>
      <c r="J24" s="61"/>
      <c r="K24" s="63">
        <v>0.2</v>
      </c>
      <c r="L24" s="62">
        <f aca="true" t="shared" si="1" ref="L24:L82">(F24+H24)*K24</f>
        <v>1006</v>
      </c>
      <c r="M24" s="62">
        <f aca="true" t="shared" si="2" ref="M24:M82">(F24+H24+L24)*50%</f>
        <v>3018</v>
      </c>
      <c r="N24" s="62"/>
      <c r="O24" s="61"/>
      <c r="P24" s="61"/>
      <c r="Q24" s="61"/>
      <c r="R24" s="62"/>
      <c r="S24" s="62"/>
      <c r="T24" s="62">
        <f t="shared" si="0"/>
        <v>9054</v>
      </c>
      <c r="U24" s="62">
        <f aca="true" t="shared" si="3" ref="U24:U82">T24*12</f>
        <v>108648</v>
      </c>
      <c r="V24" s="29">
        <v>0.6</v>
      </c>
      <c r="W24" s="25">
        <f>T24*V24</f>
        <v>5432.4</v>
      </c>
      <c r="X24" s="30">
        <f>T24+W24</f>
        <v>14486.4</v>
      </c>
      <c r="Y24" s="25">
        <v>0.795</v>
      </c>
      <c r="Z24" s="25">
        <f>X24*Y24</f>
        <v>11516.688</v>
      </c>
      <c r="AA24" s="4"/>
      <c r="AB24" s="4"/>
      <c r="AC24" s="4"/>
      <c r="AD24" s="138"/>
    </row>
    <row r="25" spans="1:26" ht="18" customHeight="1">
      <c r="A25" s="26">
        <f aca="true" t="shared" si="4" ref="A25:A35">A24+1</f>
        <v>3</v>
      </c>
      <c r="B25" s="59" t="s">
        <v>85</v>
      </c>
      <c r="C25" s="60"/>
      <c r="D25" s="194"/>
      <c r="E25" s="58">
        <v>1</v>
      </c>
      <c r="F25" s="62">
        <v>4800</v>
      </c>
      <c r="G25" s="61">
        <v>7</v>
      </c>
      <c r="H25" s="62">
        <v>110</v>
      </c>
      <c r="I25" s="61"/>
      <c r="J25" s="61"/>
      <c r="K25" s="63">
        <v>0.4</v>
      </c>
      <c r="L25" s="62">
        <f t="shared" si="1"/>
        <v>1964</v>
      </c>
      <c r="M25" s="62">
        <f t="shared" si="2"/>
        <v>3437</v>
      </c>
      <c r="N25" s="62"/>
      <c r="O25" s="61" t="s">
        <v>7</v>
      </c>
      <c r="P25" s="61"/>
      <c r="Q25" s="61"/>
      <c r="R25" s="62"/>
      <c r="S25" s="62"/>
      <c r="T25" s="62">
        <f t="shared" si="0"/>
        <v>10311</v>
      </c>
      <c r="U25" s="62">
        <f t="shared" si="3"/>
        <v>123732</v>
      </c>
      <c r="V25" s="29">
        <v>0.6</v>
      </c>
      <c r="W25" s="25">
        <f>T25*V25</f>
        <v>6186.599999999999</v>
      </c>
      <c r="X25" s="30">
        <f>T25+W25</f>
        <v>16497.6</v>
      </c>
      <c r="Y25" s="25">
        <v>0.795</v>
      </c>
      <c r="Z25" s="25">
        <f>X25*Y25</f>
        <v>13115.591999999999</v>
      </c>
    </row>
    <row r="26" spans="1:26" ht="18" customHeight="1">
      <c r="A26" s="26">
        <f t="shared" si="4"/>
        <v>4</v>
      </c>
      <c r="B26" s="59" t="s">
        <v>10</v>
      </c>
      <c r="C26" s="60"/>
      <c r="D26" s="194"/>
      <c r="E26" s="58">
        <v>1</v>
      </c>
      <c r="F26" s="62">
        <v>4800</v>
      </c>
      <c r="G26" s="61">
        <v>11</v>
      </c>
      <c r="H26" s="62">
        <v>70</v>
      </c>
      <c r="I26" s="61"/>
      <c r="J26" s="61"/>
      <c r="K26" s="63">
        <v>0.4</v>
      </c>
      <c r="L26" s="62">
        <f t="shared" si="1"/>
        <v>1948</v>
      </c>
      <c r="M26" s="62">
        <f t="shared" si="2"/>
        <v>3409</v>
      </c>
      <c r="N26" s="62"/>
      <c r="O26" s="61"/>
      <c r="P26" s="61"/>
      <c r="Q26" s="61"/>
      <c r="R26" s="62"/>
      <c r="S26" s="62"/>
      <c r="T26" s="62">
        <f t="shared" si="0"/>
        <v>10227</v>
      </c>
      <c r="U26" s="62">
        <f t="shared" si="3"/>
        <v>122724</v>
      </c>
      <c r="V26" s="28">
        <v>0.9</v>
      </c>
      <c r="W26" s="25">
        <f aca="true" t="shared" si="5" ref="W26:W35">T26*V26</f>
        <v>9204.300000000001</v>
      </c>
      <c r="X26" s="30">
        <f>T26+W26</f>
        <v>19431.300000000003</v>
      </c>
      <c r="Y26" s="25">
        <v>0.795</v>
      </c>
      <c r="Z26" s="25">
        <f aca="true" t="shared" si="6" ref="Z26:Z35">X26*Y26</f>
        <v>15447.883500000004</v>
      </c>
    </row>
    <row r="27" spans="1:26" ht="18" customHeight="1">
      <c r="A27" s="26">
        <f t="shared" si="4"/>
        <v>5</v>
      </c>
      <c r="B27" s="59" t="s">
        <v>224</v>
      </c>
      <c r="C27" s="60" t="s">
        <v>251</v>
      </c>
      <c r="D27" s="194"/>
      <c r="E27" s="58">
        <v>1</v>
      </c>
      <c r="F27" s="62">
        <v>4800</v>
      </c>
      <c r="G27" s="61">
        <v>11</v>
      </c>
      <c r="H27" s="62">
        <v>70</v>
      </c>
      <c r="I27" s="61"/>
      <c r="J27" s="61"/>
      <c r="K27" s="63"/>
      <c r="L27" s="62">
        <f>(F27+H27)*K27</f>
        <v>0</v>
      </c>
      <c r="M27" s="62">
        <f t="shared" si="2"/>
        <v>2435</v>
      </c>
      <c r="N27" s="62"/>
      <c r="O27" s="61"/>
      <c r="P27" s="61"/>
      <c r="Q27" s="61"/>
      <c r="R27" s="62"/>
      <c r="S27" s="62"/>
      <c r="T27" s="62">
        <f t="shared" si="0"/>
        <v>7305</v>
      </c>
      <c r="U27" s="62">
        <f t="shared" si="3"/>
        <v>87660</v>
      </c>
      <c r="V27" s="28">
        <v>0.7</v>
      </c>
      <c r="W27" s="25">
        <f t="shared" si="5"/>
        <v>5113.5</v>
      </c>
      <c r="X27" s="30">
        <f aca="true" t="shared" si="7" ref="X27:X82">T27+W27</f>
        <v>12418.5</v>
      </c>
      <c r="Y27" s="25">
        <v>0.795</v>
      </c>
      <c r="Z27" s="25">
        <f t="shared" si="6"/>
        <v>9872.7075</v>
      </c>
    </row>
    <row r="28" spans="1:26" ht="18" customHeight="1">
      <c r="A28" s="26">
        <f t="shared" si="4"/>
        <v>6</v>
      </c>
      <c r="B28" s="59" t="s">
        <v>225</v>
      </c>
      <c r="C28" s="60" t="s">
        <v>252</v>
      </c>
      <c r="D28" s="194"/>
      <c r="E28" s="58">
        <v>1</v>
      </c>
      <c r="F28" s="62">
        <v>4800</v>
      </c>
      <c r="G28" s="61">
        <v>7</v>
      </c>
      <c r="H28" s="62">
        <v>110</v>
      </c>
      <c r="I28" s="61"/>
      <c r="J28" s="61"/>
      <c r="K28" s="63">
        <v>0.25</v>
      </c>
      <c r="L28" s="62">
        <f t="shared" si="1"/>
        <v>1227.5</v>
      </c>
      <c r="M28" s="62">
        <f t="shared" si="2"/>
        <v>3068.75</v>
      </c>
      <c r="N28" s="62"/>
      <c r="O28" s="61"/>
      <c r="P28" s="61"/>
      <c r="Q28" s="61"/>
      <c r="R28" s="62"/>
      <c r="S28" s="62"/>
      <c r="T28" s="62">
        <f t="shared" si="0"/>
        <v>9206.25</v>
      </c>
      <c r="U28" s="62">
        <f t="shared" si="3"/>
        <v>110475</v>
      </c>
      <c r="V28" s="28">
        <v>0.5</v>
      </c>
      <c r="W28" s="25">
        <f t="shared" si="5"/>
        <v>4603.125</v>
      </c>
      <c r="X28" s="30">
        <f t="shared" si="7"/>
        <v>13809.375</v>
      </c>
      <c r="Y28" s="25">
        <v>0.795</v>
      </c>
      <c r="Z28" s="25">
        <f t="shared" si="6"/>
        <v>10978.453125</v>
      </c>
    </row>
    <row r="29" spans="1:26" ht="18" customHeight="1">
      <c r="A29" s="26">
        <f t="shared" si="4"/>
        <v>7</v>
      </c>
      <c r="B29" s="59" t="s">
        <v>226</v>
      </c>
      <c r="C29" s="60" t="s">
        <v>253</v>
      </c>
      <c r="D29" s="194"/>
      <c r="E29" s="58">
        <v>1</v>
      </c>
      <c r="F29" s="62">
        <v>4800</v>
      </c>
      <c r="G29" s="61">
        <v>7</v>
      </c>
      <c r="H29" s="62">
        <v>110</v>
      </c>
      <c r="I29" s="61"/>
      <c r="J29" s="61"/>
      <c r="K29" s="63">
        <v>0.3</v>
      </c>
      <c r="L29" s="62">
        <f t="shared" si="1"/>
        <v>1473</v>
      </c>
      <c r="M29" s="62">
        <f t="shared" si="2"/>
        <v>3191.5</v>
      </c>
      <c r="N29" s="62"/>
      <c r="O29" s="61"/>
      <c r="P29" s="61"/>
      <c r="Q29" s="61"/>
      <c r="R29" s="62"/>
      <c r="S29" s="62"/>
      <c r="T29" s="62">
        <f t="shared" si="0"/>
        <v>9574.5</v>
      </c>
      <c r="U29" s="62">
        <f t="shared" si="3"/>
        <v>114894</v>
      </c>
      <c r="V29" s="28">
        <v>0.6</v>
      </c>
      <c r="W29" s="25">
        <f t="shared" si="5"/>
        <v>5744.7</v>
      </c>
      <c r="X29" s="30">
        <f t="shared" si="7"/>
        <v>15319.2</v>
      </c>
      <c r="Y29" s="25">
        <v>0.795</v>
      </c>
      <c r="Z29" s="25">
        <f t="shared" si="6"/>
        <v>12178.764000000001</v>
      </c>
    </row>
    <row r="30" spans="1:26" ht="18" customHeight="1">
      <c r="A30" s="26">
        <f t="shared" si="4"/>
        <v>8</v>
      </c>
      <c r="B30" s="59" t="s">
        <v>227</v>
      </c>
      <c r="C30" s="60" t="s">
        <v>254</v>
      </c>
      <c r="D30" s="194"/>
      <c r="E30" s="58">
        <v>1</v>
      </c>
      <c r="F30" s="62">
        <v>4800</v>
      </c>
      <c r="G30" s="61">
        <v>7</v>
      </c>
      <c r="H30" s="62">
        <v>110</v>
      </c>
      <c r="I30" s="61"/>
      <c r="J30" s="61"/>
      <c r="K30" s="227">
        <v>0.25</v>
      </c>
      <c r="L30" s="62">
        <f t="shared" si="1"/>
        <v>1227.5</v>
      </c>
      <c r="M30" s="62">
        <f t="shared" si="2"/>
        <v>3068.75</v>
      </c>
      <c r="N30" s="62"/>
      <c r="O30" s="61"/>
      <c r="P30" s="61"/>
      <c r="Q30" s="61"/>
      <c r="R30" s="62"/>
      <c r="S30" s="62"/>
      <c r="T30" s="62">
        <f t="shared" si="0"/>
        <v>9206.25</v>
      </c>
      <c r="U30" s="62">
        <f t="shared" si="3"/>
        <v>110475</v>
      </c>
      <c r="V30" s="28">
        <v>0.6</v>
      </c>
      <c r="W30" s="25">
        <f t="shared" si="5"/>
        <v>5523.75</v>
      </c>
      <c r="X30" s="30">
        <f t="shared" si="7"/>
        <v>14730</v>
      </c>
      <c r="Y30" s="25">
        <v>0.795</v>
      </c>
      <c r="Z30" s="25">
        <f t="shared" si="6"/>
        <v>11710.35</v>
      </c>
    </row>
    <row r="31" spans="1:26" ht="18" customHeight="1">
      <c r="A31" s="26">
        <f t="shared" si="4"/>
        <v>9</v>
      </c>
      <c r="B31" s="59" t="s">
        <v>228</v>
      </c>
      <c r="C31" s="60" t="s">
        <v>255</v>
      </c>
      <c r="D31" s="194"/>
      <c r="E31" s="58">
        <v>1</v>
      </c>
      <c r="F31" s="62">
        <v>4800</v>
      </c>
      <c r="G31" s="61">
        <v>7</v>
      </c>
      <c r="H31" s="62">
        <v>110</v>
      </c>
      <c r="I31" s="61"/>
      <c r="J31" s="61"/>
      <c r="K31" s="227">
        <v>0.25</v>
      </c>
      <c r="L31" s="62">
        <f t="shared" si="1"/>
        <v>1227.5</v>
      </c>
      <c r="M31" s="62">
        <f t="shared" si="2"/>
        <v>3068.75</v>
      </c>
      <c r="N31" s="62"/>
      <c r="O31" s="61"/>
      <c r="P31" s="61"/>
      <c r="Q31" s="61"/>
      <c r="R31" s="62"/>
      <c r="S31" s="62"/>
      <c r="T31" s="62">
        <f t="shared" si="0"/>
        <v>9206.25</v>
      </c>
      <c r="U31" s="62">
        <f t="shared" si="3"/>
        <v>110475</v>
      </c>
      <c r="V31" s="28">
        <v>0.5</v>
      </c>
      <c r="W31" s="25">
        <f t="shared" si="5"/>
        <v>4603.125</v>
      </c>
      <c r="X31" s="30">
        <f t="shared" si="7"/>
        <v>13809.375</v>
      </c>
      <c r="Y31" s="25">
        <v>0.795</v>
      </c>
      <c r="Z31" s="25">
        <f t="shared" si="6"/>
        <v>10978.453125</v>
      </c>
    </row>
    <row r="32" spans="1:26" ht="18" customHeight="1">
      <c r="A32" s="26">
        <f t="shared" si="4"/>
        <v>10</v>
      </c>
      <c r="B32" s="59" t="s">
        <v>229</v>
      </c>
      <c r="C32" s="60" t="s">
        <v>256</v>
      </c>
      <c r="D32" s="194"/>
      <c r="E32" s="58">
        <v>1</v>
      </c>
      <c r="F32" s="62">
        <v>4800</v>
      </c>
      <c r="G32" s="61">
        <v>9</v>
      </c>
      <c r="H32" s="62">
        <v>90</v>
      </c>
      <c r="I32" s="61"/>
      <c r="J32" s="61"/>
      <c r="K32" s="63">
        <v>0.1</v>
      </c>
      <c r="L32" s="62">
        <f t="shared" si="1"/>
        <v>489</v>
      </c>
      <c r="M32" s="62">
        <f t="shared" si="2"/>
        <v>2689.5</v>
      </c>
      <c r="N32" s="62"/>
      <c r="O32" s="61"/>
      <c r="P32" s="61"/>
      <c r="Q32" s="61"/>
      <c r="R32" s="62"/>
      <c r="S32" s="62"/>
      <c r="T32" s="62">
        <f t="shared" si="0"/>
        <v>8068.5</v>
      </c>
      <c r="U32" s="62">
        <f t="shared" si="3"/>
        <v>96822</v>
      </c>
      <c r="V32" s="28">
        <v>0.8</v>
      </c>
      <c r="W32" s="25">
        <f t="shared" si="5"/>
        <v>6454.8</v>
      </c>
      <c r="X32" s="30">
        <f t="shared" si="7"/>
        <v>14523.3</v>
      </c>
      <c r="Y32" s="25">
        <v>0.795</v>
      </c>
      <c r="Z32" s="25">
        <f t="shared" si="6"/>
        <v>11546.0235</v>
      </c>
    </row>
    <row r="33" spans="1:26" ht="18" customHeight="1">
      <c r="A33" s="26">
        <f t="shared" si="4"/>
        <v>11</v>
      </c>
      <c r="B33" s="59" t="s">
        <v>230</v>
      </c>
      <c r="C33" s="60" t="s">
        <v>257</v>
      </c>
      <c r="D33" s="194"/>
      <c r="E33" s="58">
        <v>1</v>
      </c>
      <c r="F33" s="62">
        <v>4800</v>
      </c>
      <c r="G33" s="61">
        <v>7</v>
      </c>
      <c r="H33" s="62">
        <v>110</v>
      </c>
      <c r="I33" s="61"/>
      <c r="J33" s="61"/>
      <c r="K33" s="63">
        <v>0.3</v>
      </c>
      <c r="L33" s="62">
        <f t="shared" si="1"/>
        <v>1473</v>
      </c>
      <c r="M33" s="62">
        <f t="shared" si="2"/>
        <v>3191.5</v>
      </c>
      <c r="N33" s="62"/>
      <c r="O33" s="61"/>
      <c r="P33" s="61"/>
      <c r="Q33" s="61"/>
      <c r="R33" s="62"/>
      <c r="S33" s="62"/>
      <c r="T33" s="62">
        <f t="shared" si="0"/>
        <v>9574.5</v>
      </c>
      <c r="U33" s="62">
        <f t="shared" si="3"/>
        <v>114894</v>
      </c>
      <c r="V33" s="28">
        <v>0.6</v>
      </c>
      <c r="W33" s="25">
        <f t="shared" si="5"/>
        <v>5744.7</v>
      </c>
      <c r="X33" s="30">
        <f t="shared" si="7"/>
        <v>15319.2</v>
      </c>
      <c r="Y33" s="25">
        <v>0.795</v>
      </c>
      <c r="Z33" s="25">
        <f t="shared" si="6"/>
        <v>12178.764000000001</v>
      </c>
    </row>
    <row r="34" spans="1:26" ht="18" customHeight="1">
      <c r="A34" s="26">
        <f t="shared" si="4"/>
        <v>12</v>
      </c>
      <c r="B34" s="59" t="s">
        <v>231</v>
      </c>
      <c r="C34" s="60" t="s">
        <v>258</v>
      </c>
      <c r="D34" s="194"/>
      <c r="E34" s="58">
        <v>1</v>
      </c>
      <c r="F34" s="62">
        <v>4800</v>
      </c>
      <c r="G34" s="61">
        <v>9</v>
      </c>
      <c r="H34" s="62">
        <v>90</v>
      </c>
      <c r="I34" s="63">
        <v>0.25</v>
      </c>
      <c r="J34" s="61">
        <f>F34*0.25</f>
        <v>1200</v>
      </c>
      <c r="K34" s="63">
        <v>0.4</v>
      </c>
      <c r="L34" s="62">
        <f>(F34+H34+J34)*K34</f>
        <v>2436</v>
      </c>
      <c r="M34" s="62">
        <f>(F34+H34+L34+J34)*50%</f>
        <v>4263</v>
      </c>
      <c r="N34" s="62"/>
      <c r="O34" s="175"/>
      <c r="P34" s="61"/>
      <c r="Q34" s="61"/>
      <c r="R34" s="62"/>
      <c r="S34" s="62"/>
      <c r="T34" s="62">
        <f t="shared" si="0"/>
        <v>12789</v>
      </c>
      <c r="U34" s="62">
        <f t="shared" si="3"/>
        <v>153468</v>
      </c>
      <c r="V34" s="28">
        <v>0.5</v>
      </c>
      <c r="W34" s="25">
        <f t="shared" si="5"/>
        <v>6394.5</v>
      </c>
      <c r="X34" s="30">
        <f t="shared" si="7"/>
        <v>19183.5</v>
      </c>
      <c r="Y34" s="25">
        <v>0.795</v>
      </c>
      <c r="Z34" s="25">
        <f t="shared" si="6"/>
        <v>15250.882500000002</v>
      </c>
    </row>
    <row r="35" spans="1:26" ht="18" customHeight="1">
      <c r="A35" s="26">
        <f t="shared" si="4"/>
        <v>13</v>
      </c>
      <c r="B35" s="59" t="s">
        <v>232</v>
      </c>
      <c r="C35" s="60" t="s">
        <v>259</v>
      </c>
      <c r="D35" s="194"/>
      <c r="E35" s="58">
        <v>1</v>
      </c>
      <c r="F35" s="62">
        <v>4800</v>
      </c>
      <c r="G35" s="61">
        <v>7</v>
      </c>
      <c r="H35" s="62">
        <v>110</v>
      </c>
      <c r="I35" s="61"/>
      <c r="J35" s="61"/>
      <c r="K35" s="63">
        <v>0.4</v>
      </c>
      <c r="L35" s="62">
        <f t="shared" si="1"/>
        <v>1964</v>
      </c>
      <c r="M35" s="62">
        <f t="shared" si="2"/>
        <v>3437</v>
      </c>
      <c r="N35" s="62"/>
      <c r="O35" s="61"/>
      <c r="P35" s="61"/>
      <c r="Q35" s="61"/>
      <c r="R35" s="62"/>
      <c r="S35" s="62"/>
      <c r="T35" s="62">
        <f t="shared" si="0"/>
        <v>10311</v>
      </c>
      <c r="U35" s="62">
        <f t="shared" si="3"/>
        <v>123732</v>
      </c>
      <c r="V35" s="28">
        <v>0.6</v>
      </c>
      <c r="W35" s="25">
        <f t="shared" si="5"/>
        <v>6186.599999999999</v>
      </c>
      <c r="X35" s="30">
        <f t="shared" si="7"/>
        <v>16497.6</v>
      </c>
      <c r="Y35" s="25">
        <v>0.795</v>
      </c>
      <c r="Z35" s="25">
        <f t="shared" si="6"/>
        <v>13115.591999999999</v>
      </c>
    </row>
    <row r="36" spans="1:26" ht="18" customHeight="1">
      <c r="A36" s="31"/>
      <c r="B36" s="186" t="s">
        <v>12</v>
      </c>
      <c r="C36" s="187"/>
      <c r="D36" s="213"/>
      <c r="E36" s="87"/>
      <c r="F36" s="88"/>
      <c r="G36" s="88"/>
      <c r="H36" s="88"/>
      <c r="I36" s="88"/>
      <c r="J36" s="88"/>
      <c r="K36" s="88"/>
      <c r="L36" s="62"/>
      <c r="M36" s="62"/>
      <c r="N36" s="62"/>
      <c r="O36" s="88"/>
      <c r="P36" s="88"/>
      <c r="Q36" s="88"/>
      <c r="R36" s="88"/>
      <c r="S36" s="88"/>
      <c r="T36" s="62"/>
      <c r="U36" s="62"/>
      <c r="V36" s="28"/>
      <c r="W36" s="25"/>
      <c r="X36" s="30"/>
      <c r="Y36" s="25"/>
      <c r="Z36" s="25"/>
    </row>
    <row r="37" spans="1:26" ht="18" customHeight="1">
      <c r="A37" s="26">
        <v>14</v>
      </c>
      <c r="B37" s="185" t="s">
        <v>13</v>
      </c>
      <c r="C37" s="66"/>
      <c r="D37" s="193"/>
      <c r="E37" s="58">
        <v>1</v>
      </c>
      <c r="F37" s="62">
        <v>3400</v>
      </c>
      <c r="G37" s="61">
        <v>11</v>
      </c>
      <c r="H37" s="62">
        <v>70</v>
      </c>
      <c r="I37" s="61"/>
      <c r="J37" s="61"/>
      <c r="K37" s="63">
        <v>0.4</v>
      </c>
      <c r="L37" s="62">
        <f t="shared" si="1"/>
        <v>1388</v>
      </c>
      <c r="M37" s="62">
        <f t="shared" si="2"/>
        <v>2429</v>
      </c>
      <c r="N37" s="62"/>
      <c r="O37" s="61"/>
      <c r="P37" s="61"/>
      <c r="Q37" s="61"/>
      <c r="R37" s="61"/>
      <c r="S37" s="62"/>
      <c r="T37" s="62">
        <f t="shared" si="0"/>
        <v>7287</v>
      </c>
      <c r="U37" s="62">
        <f t="shared" si="3"/>
        <v>87444</v>
      </c>
      <c r="V37" s="28">
        <v>1</v>
      </c>
      <c r="W37" s="25">
        <f>T37*V37</f>
        <v>7287</v>
      </c>
      <c r="X37" s="30">
        <f t="shared" si="7"/>
        <v>14574</v>
      </c>
      <c r="Y37" s="25">
        <v>0.795</v>
      </c>
      <c r="Z37" s="25">
        <f>X37*Y37</f>
        <v>11586.33</v>
      </c>
    </row>
    <row r="38" spans="1:30" s="105" customFormat="1" ht="18" customHeight="1">
      <c r="A38" s="26">
        <f>A37+1</f>
        <v>15</v>
      </c>
      <c r="B38" s="185" t="s">
        <v>223</v>
      </c>
      <c r="C38" s="68"/>
      <c r="D38" s="193" t="s">
        <v>219</v>
      </c>
      <c r="E38" s="58">
        <v>1</v>
      </c>
      <c r="F38" s="62">
        <v>3350</v>
      </c>
      <c r="G38" s="61">
        <v>13</v>
      </c>
      <c r="H38" s="62">
        <v>55</v>
      </c>
      <c r="I38" s="61"/>
      <c r="J38" s="61"/>
      <c r="K38" s="63"/>
      <c r="L38" s="62">
        <f t="shared" si="1"/>
        <v>0</v>
      </c>
      <c r="M38" s="62">
        <f t="shared" si="2"/>
        <v>1702.5</v>
      </c>
      <c r="N38" s="62"/>
      <c r="O38" s="61"/>
      <c r="P38" s="61"/>
      <c r="Q38" s="62"/>
      <c r="R38" s="61"/>
      <c r="S38" s="62"/>
      <c r="T38" s="62">
        <f t="shared" si="0"/>
        <v>5107.5</v>
      </c>
      <c r="U38" s="62">
        <f t="shared" si="3"/>
        <v>61290</v>
      </c>
      <c r="V38" s="28"/>
      <c r="W38" s="25"/>
      <c r="X38" s="30"/>
      <c r="Y38" s="25"/>
      <c r="Z38" s="25"/>
      <c r="AA38" s="4"/>
      <c r="AB38" s="4"/>
      <c r="AC38" s="4"/>
      <c r="AD38" s="138"/>
    </row>
    <row r="39" spans="1:30" s="105" customFormat="1" ht="18" customHeight="1">
      <c r="A39" s="26">
        <f>A38+1</f>
        <v>16</v>
      </c>
      <c r="B39" s="185" t="s">
        <v>14</v>
      </c>
      <c r="C39" s="68"/>
      <c r="D39" s="193" t="s">
        <v>219</v>
      </c>
      <c r="E39" s="58">
        <v>1</v>
      </c>
      <c r="F39" s="62">
        <v>3200</v>
      </c>
      <c r="G39" s="61">
        <v>15</v>
      </c>
      <c r="H39" s="62">
        <v>45</v>
      </c>
      <c r="I39" s="61"/>
      <c r="J39" s="61"/>
      <c r="K39" s="63"/>
      <c r="L39" s="62">
        <f t="shared" si="1"/>
        <v>0</v>
      </c>
      <c r="M39" s="62">
        <f t="shared" si="2"/>
        <v>1622.5</v>
      </c>
      <c r="N39" s="62"/>
      <c r="O39" s="61"/>
      <c r="P39" s="61"/>
      <c r="Q39" s="62"/>
      <c r="R39" s="61"/>
      <c r="S39" s="62"/>
      <c r="T39" s="62">
        <f t="shared" si="0"/>
        <v>4867.5</v>
      </c>
      <c r="U39" s="62">
        <f t="shared" si="3"/>
        <v>58410</v>
      </c>
      <c r="V39" s="28"/>
      <c r="W39" s="25"/>
      <c r="X39" s="30"/>
      <c r="Y39" s="25"/>
      <c r="Z39" s="25"/>
      <c r="AA39" s="4"/>
      <c r="AB39" s="4"/>
      <c r="AC39" s="4"/>
      <c r="AD39" s="138"/>
    </row>
    <row r="40" spans="1:30" s="105" customFormat="1" ht="18" customHeight="1">
      <c r="A40" s="26">
        <v>17</v>
      </c>
      <c r="B40" s="185" t="s">
        <v>14</v>
      </c>
      <c r="C40" s="68"/>
      <c r="D40" s="193" t="s">
        <v>213</v>
      </c>
      <c r="E40" s="58">
        <v>1</v>
      </c>
      <c r="F40" s="62">
        <v>3200</v>
      </c>
      <c r="G40" s="61">
        <v>15</v>
      </c>
      <c r="H40" s="62">
        <v>45</v>
      </c>
      <c r="I40" s="61"/>
      <c r="J40" s="61"/>
      <c r="K40" s="63"/>
      <c r="L40" s="62">
        <f t="shared" si="1"/>
        <v>0</v>
      </c>
      <c r="M40" s="62">
        <f t="shared" si="2"/>
        <v>1622.5</v>
      </c>
      <c r="N40" s="62"/>
      <c r="O40" s="61"/>
      <c r="P40" s="61"/>
      <c r="Q40" s="62"/>
      <c r="R40" s="61"/>
      <c r="S40" s="62"/>
      <c r="T40" s="62">
        <f t="shared" si="0"/>
        <v>4867.5</v>
      </c>
      <c r="U40" s="62">
        <f t="shared" si="3"/>
        <v>58410</v>
      </c>
      <c r="V40" s="28"/>
      <c r="W40" s="25"/>
      <c r="X40" s="30"/>
      <c r="Y40" s="25"/>
      <c r="Z40" s="25"/>
      <c r="AA40" s="4"/>
      <c r="AB40" s="4"/>
      <c r="AC40" s="4"/>
      <c r="AD40" s="138"/>
    </row>
    <row r="41" spans="1:26" ht="18" customHeight="1">
      <c r="A41" s="27"/>
      <c r="B41" s="154" t="s">
        <v>15</v>
      </c>
      <c r="C41" s="68"/>
      <c r="D41" s="197"/>
      <c r="E41" s="58"/>
      <c r="F41" s="62"/>
      <c r="G41" s="61"/>
      <c r="H41" s="62"/>
      <c r="I41" s="61"/>
      <c r="J41" s="61"/>
      <c r="K41" s="63"/>
      <c r="L41" s="62"/>
      <c r="M41" s="62"/>
      <c r="N41" s="62"/>
      <c r="O41" s="61"/>
      <c r="P41" s="61"/>
      <c r="Q41" s="62"/>
      <c r="R41" s="61"/>
      <c r="S41" s="61"/>
      <c r="T41" s="62"/>
      <c r="U41" s="62"/>
      <c r="V41" s="28"/>
      <c r="W41" s="25"/>
      <c r="X41" s="30"/>
      <c r="Y41" s="25"/>
      <c r="Z41" s="25"/>
    </row>
    <row r="42" spans="1:26" ht="18" customHeight="1">
      <c r="A42" s="26">
        <v>18</v>
      </c>
      <c r="B42" s="59" t="s">
        <v>16</v>
      </c>
      <c r="C42" s="60"/>
      <c r="D42" s="194"/>
      <c r="E42" s="58">
        <v>1</v>
      </c>
      <c r="F42" s="62">
        <v>3400</v>
      </c>
      <c r="G42" s="61">
        <v>11</v>
      </c>
      <c r="H42" s="62">
        <v>70</v>
      </c>
      <c r="I42" s="61"/>
      <c r="J42" s="61"/>
      <c r="K42" s="63">
        <v>0.15</v>
      </c>
      <c r="L42" s="62">
        <f t="shared" si="1"/>
        <v>520.5</v>
      </c>
      <c r="M42" s="62">
        <f t="shared" si="2"/>
        <v>1995.25</v>
      </c>
      <c r="N42" s="62"/>
      <c r="O42" s="61"/>
      <c r="P42" s="61"/>
      <c r="Q42" s="62"/>
      <c r="R42" s="61"/>
      <c r="S42" s="61"/>
      <c r="T42" s="62">
        <f t="shared" si="0"/>
        <v>5985.75</v>
      </c>
      <c r="U42" s="62">
        <f t="shared" si="3"/>
        <v>71829</v>
      </c>
      <c r="V42" s="28">
        <v>0.7</v>
      </c>
      <c r="W42" s="25">
        <f>T42*V42</f>
        <v>4190.025</v>
      </c>
      <c r="X42" s="30">
        <f t="shared" si="7"/>
        <v>10175.775</v>
      </c>
      <c r="Y42" s="25">
        <v>0.795</v>
      </c>
      <c r="Z42" s="25">
        <f>X42*Y42</f>
        <v>8089.7411250000005</v>
      </c>
    </row>
    <row r="43" spans="1:26" ht="18" customHeight="1">
      <c r="A43" s="26">
        <f>A42+1</f>
        <v>19</v>
      </c>
      <c r="B43" s="59" t="s">
        <v>17</v>
      </c>
      <c r="C43" s="60"/>
      <c r="D43" s="194"/>
      <c r="E43" s="58">
        <v>1</v>
      </c>
      <c r="F43" s="62">
        <v>3350</v>
      </c>
      <c r="G43" s="61">
        <v>14</v>
      </c>
      <c r="H43" s="62">
        <v>50</v>
      </c>
      <c r="I43" s="61"/>
      <c r="J43" s="61"/>
      <c r="K43" s="63">
        <v>0.1</v>
      </c>
      <c r="L43" s="62">
        <f t="shared" si="1"/>
        <v>340</v>
      </c>
      <c r="M43" s="62">
        <f t="shared" si="2"/>
        <v>1870</v>
      </c>
      <c r="N43" s="62"/>
      <c r="O43" s="176"/>
      <c r="P43" s="176"/>
      <c r="Q43" s="62"/>
      <c r="R43" s="176"/>
      <c r="S43" s="176"/>
      <c r="T43" s="62">
        <f t="shared" si="0"/>
        <v>5610</v>
      </c>
      <c r="U43" s="62">
        <f t="shared" si="3"/>
        <v>67320</v>
      </c>
      <c r="V43" s="28">
        <v>0.5</v>
      </c>
      <c r="W43" s="25">
        <f>T43*V43</f>
        <v>2805</v>
      </c>
      <c r="X43" s="30">
        <f t="shared" si="7"/>
        <v>8415</v>
      </c>
      <c r="Y43" s="25">
        <v>0.795</v>
      </c>
      <c r="Z43" s="25">
        <f>X43*Y43</f>
        <v>6689.925</v>
      </c>
    </row>
    <row r="44" spans="1:26" ht="18" customHeight="1">
      <c r="A44" s="26">
        <f>A43+1</f>
        <v>20</v>
      </c>
      <c r="B44" s="59" t="s">
        <v>17</v>
      </c>
      <c r="C44" s="60"/>
      <c r="D44" s="194"/>
      <c r="E44" s="58">
        <v>1</v>
      </c>
      <c r="F44" s="62">
        <v>3350</v>
      </c>
      <c r="G44" s="61">
        <v>11</v>
      </c>
      <c r="H44" s="62">
        <v>70</v>
      </c>
      <c r="I44" s="61"/>
      <c r="J44" s="61"/>
      <c r="K44" s="63">
        <v>0.4</v>
      </c>
      <c r="L44" s="62">
        <f t="shared" si="1"/>
        <v>1368</v>
      </c>
      <c r="M44" s="62">
        <f t="shared" si="2"/>
        <v>2394</v>
      </c>
      <c r="N44" s="62"/>
      <c r="O44" s="61"/>
      <c r="P44" s="61"/>
      <c r="Q44" s="62"/>
      <c r="R44" s="61"/>
      <c r="S44" s="61"/>
      <c r="T44" s="62">
        <f t="shared" si="0"/>
        <v>7182</v>
      </c>
      <c r="U44" s="62">
        <f t="shared" si="3"/>
        <v>86184</v>
      </c>
      <c r="V44" s="28">
        <v>0.6</v>
      </c>
      <c r="W44" s="25">
        <f>T44*V44</f>
        <v>4309.2</v>
      </c>
      <c r="X44" s="30">
        <f t="shared" si="7"/>
        <v>11491.2</v>
      </c>
      <c r="Y44" s="25">
        <v>0.795</v>
      </c>
      <c r="Z44" s="25">
        <f>X44*Y44</f>
        <v>9135.504</v>
      </c>
    </row>
    <row r="45" spans="1:26" ht="20.25" customHeight="1">
      <c r="A45" s="26">
        <f>A44+1</f>
        <v>21</v>
      </c>
      <c r="B45" s="59" t="s">
        <v>18</v>
      </c>
      <c r="C45" s="60"/>
      <c r="D45" s="194"/>
      <c r="E45" s="58">
        <v>1</v>
      </c>
      <c r="F45" s="62">
        <v>2200</v>
      </c>
      <c r="G45" s="61">
        <v>15</v>
      </c>
      <c r="H45" s="62">
        <v>45</v>
      </c>
      <c r="I45" s="61"/>
      <c r="J45" s="61"/>
      <c r="K45" s="63"/>
      <c r="L45" s="62">
        <f t="shared" si="1"/>
        <v>0</v>
      </c>
      <c r="M45" s="62">
        <f t="shared" si="2"/>
        <v>1122.5</v>
      </c>
      <c r="N45" s="62"/>
      <c r="O45" s="61"/>
      <c r="P45" s="61"/>
      <c r="Q45" s="62"/>
      <c r="R45" s="61"/>
      <c r="S45" s="61"/>
      <c r="T45" s="62">
        <f t="shared" si="0"/>
        <v>3367.5</v>
      </c>
      <c r="U45" s="62">
        <f t="shared" si="3"/>
        <v>40410</v>
      </c>
      <c r="V45" s="28">
        <v>0.5</v>
      </c>
      <c r="W45" s="25">
        <f>T45*V45</f>
        <v>1683.75</v>
      </c>
      <c r="X45" s="30">
        <f t="shared" si="7"/>
        <v>5051.25</v>
      </c>
      <c r="Y45" s="25">
        <v>0.795</v>
      </c>
      <c r="Z45" s="25">
        <f>X45*Y45</f>
        <v>4015.74375</v>
      </c>
    </row>
    <row r="46" spans="1:26" ht="18" customHeight="1">
      <c r="A46" s="27"/>
      <c r="B46" s="186" t="s">
        <v>28</v>
      </c>
      <c r="C46" s="187"/>
      <c r="D46" s="213"/>
      <c r="E46" s="58"/>
      <c r="F46" s="62"/>
      <c r="G46" s="61"/>
      <c r="H46" s="62"/>
      <c r="I46" s="61"/>
      <c r="J46" s="61"/>
      <c r="K46" s="63"/>
      <c r="L46" s="62"/>
      <c r="M46" s="62"/>
      <c r="N46" s="62"/>
      <c r="O46" s="61"/>
      <c r="P46" s="61"/>
      <c r="Q46" s="62"/>
      <c r="R46" s="61"/>
      <c r="S46" s="61"/>
      <c r="T46" s="62"/>
      <c r="U46" s="62"/>
      <c r="V46" s="28"/>
      <c r="W46" s="25"/>
      <c r="X46" s="30"/>
      <c r="Y46" s="25"/>
      <c r="Z46" s="25"/>
    </row>
    <row r="47" spans="1:30" s="105" customFormat="1" ht="18" customHeight="1">
      <c r="A47" s="26">
        <v>22</v>
      </c>
      <c r="B47" s="59" t="s">
        <v>30</v>
      </c>
      <c r="C47" s="60"/>
      <c r="D47" s="194" t="s">
        <v>218</v>
      </c>
      <c r="E47" s="58">
        <v>1</v>
      </c>
      <c r="F47" s="62">
        <v>3400</v>
      </c>
      <c r="G47" s="61">
        <v>10</v>
      </c>
      <c r="H47" s="62">
        <v>80</v>
      </c>
      <c r="I47" s="61"/>
      <c r="J47" s="61"/>
      <c r="K47" s="63">
        <v>0.4</v>
      </c>
      <c r="L47" s="62">
        <f t="shared" si="1"/>
        <v>1392</v>
      </c>
      <c r="M47" s="62">
        <f t="shared" si="2"/>
        <v>2436</v>
      </c>
      <c r="N47" s="62"/>
      <c r="O47" s="61"/>
      <c r="P47" s="61"/>
      <c r="Q47" s="62"/>
      <c r="R47" s="176"/>
      <c r="S47" s="176"/>
      <c r="T47" s="62">
        <f t="shared" si="0"/>
        <v>7308</v>
      </c>
      <c r="U47" s="62">
        <f t="shared" si="3"/>
        <v>87696</v>
      </c>
      <c r="V47" s="28"/>
      <c r="W47" s="25"/>
      <c r="X47" s="30"/>
      <c r="Y47" s="25"/>
      <c r="Z47" s="25"/>
      <c r="AA47" s="4"/>
      <c r="AB47" s="4"/>
      <c r="AC47" s="4"/>
      <c r="AD47" s="138"/>
    </row>
    <row r="48" spans="1:26" ht="18" customHeight="1">
      <c r="A48" s="26">
        <f>A47+1</f>
        <v>23</v>
      </c>
      <c r="B48" s="59" t="s">
        <v>14</v>
      </c>
      <c r="C48" s="60"/>
      <c r="D48" s="194"/>
      <c r="E48" s="58">
        <v>1</v>
      </c>
      <c r="F48" s="62">
        <v>3200</v>
      </c>
      <c r="G48" s="61">
        <v>13</v>
      </c>
      <c r="H48" s="62">
        <v>55</v>
      </c>
      <c r="I48" s="61"/>
      <c r="J48" s="61"/>
      <c r="K48" s="63">
        <v>0.2</v>
      </c>
      <c r="L48" s="62">
        <f t="shared" si="1"/>
        <v>651</v>
      </c>
      <c r="M48" s="62">
        <f t="shared" si="2"/>
        <v>1953</v>
      </c>
      <c r="N48" s="62"/>
      <c r="O48" s="61"/>
      <c r="P48" s="61"/>
      <c r="Q48" s="62"/>
      <c r="R48" s="61"/>
      <c r="S48" s="61"/>
      <c r="T48" s="62">
        <f t="shared" si="0"/>
        <v>5859</v>
      </c>
      <c r="U48" s="62">
        <f t="shared" si="3"/>
        <v>70308</v>
      </c>
      <c r="V48" s="28">
        <v>0.5</v>
      </c>
      <c r="W48" s="25">
        <f>T48*V48</f>
        <v>2929.5</v>
      </c>
      <c r="X48" s="30">
        <f t="shared" si="7"/>
        <v>8788.5</v>
      </c>
      <c r="Y48" s="25">
        <v>0.795</v>
      </c>
      <c r="Z48" s="25">
        <f>X48*Y48</f>
        <v>6986.8575</v>
      </c>
    </row>
    <row r="49" spans="1:26" ht="32.25" customHeight="1">
      <c r="A49" s="27"/>
      <c r="B49" s="186" t="s">
        <v>46</v>
      </c>
      <c r="C49" s="187"/>
      <c r="D49" s="213"/>
      <c r="E49" s="58"/>
      <c r="F49" s="62"/>
      <c r="G49" s="61"/>
      <c r="H49" s="62"/>
      <c r="I49" s="61"/>
      <c r="J49" s="61"/>
      <c r="K49" s="63"/>
      <c r="L49" s="62"/>
      <c r="M49" s="62"/>
      <c r="N49" s="62"/>
      <c r="O49" s="61"/>
      <c r="P49" s="61"/>
      <c r="Q49" s="62"/>
      <c r="R49" s="61"/>
      <c r="S49" s="63"/>
      <c r="T49" s="62"/>
      <c r="U49" s="62"/>
      <c r="V49" s="28"/>
      <c r="W49" s="25"/>
      <c r="X49" s="30"/>
      <c r="Y49" s="25"/>
      <c r="Z49" s="25"/>
    </row>
    <row r="50" spans="1:26" ht="18" customHeight="1">
      <c r="A50" s="26">
        <v>24</v>
      </c>
      <c r="B50" s="59" t="s">
        <v>47</v>
      </c>
      <c r="C50" s="60"/>
      <c r="D50" s="194"/>
      <c r="E50" s="58">
        <v>1</v>
      </c>
      <c r="F50" s="62">
        <v>3400</v>
      </c>
      <c r="G50" s="61">
        <v>11</v>
      </c>
      <c r="H50" s="62">
        <v>70</v>
      </c>
      <c r="I50" s="61"/>
      <c r="J50" s="61"/>
      <c r="K50" s="63">
        <v>0.4</v>
      </c>
      <c r="L50" s="62">
        <f t="shared" si="1"/>
        <v>1388</v>
      </c>
      <c r="M50" s="62">
        <f t="shared" si="2"/>
        <v>2429</v>
      </c>
      <c r="N50" s="62"/>
      <c r="O50" s="61"/>
      <c r="P50" s="61"/>
      <c r="Q50" s="62"/>
      <c r="R50" s="61"/>
      <c r="S50" s="61"/>
      <c r="T50" s="62">
        <f t="shared" si="0"/>
        <v>7287</v>
      </c>
      <c r="U50" s="62">
        <f t="shared" si="3"/>
        <v>87444</v>
      </c>
      <c r="V50" s="28">
        <v>1</v>
      </c>
      <c r="W50" s="25">
        <f>T50*V50</f>
        <v>7287</v>
      </c>
      <c r="X50" s="30">
        <f t="shared" si="7"/>
        <v>14574</v>
      </c>
      <c r="Y50" s="25">
        <v>0.795</v>
      </c>
      <c r="Z50" s="25">
        <f>X50*Y50</f>
        <v>11586.33</v>
      </c>
    </row>
    <row r="51" spans="1:26" ht="18" customHeight="1">
      <c r="A51" s="26">
        <f aca="true" t="shared" si="8" ref="A51:A58">A50+1</f>
        <v>25</v>
      </c>
      <c r="B51" s="188" t="s">
        <v>14</v>
      </c>
      <c r="C51" s="189"/>
      <c r="D51" s="195"/>
      <c r="E51" s="177">
        <v>1</v>
      </c>
      <c r="F51" s="62">
        <v>3200</v>
      </c>
      <c r="G51" s="178">
        <v>13</v>
      </c>
      <c r="H51" s="179">
        <v>55</v>
      </c>
      <c r="I51" s="178"/>
      <c r="J51" s="178"/>
      <c r="K51" s="180">
        <v>0.15</v>
      </c>
      <c r="L51" s="62">
        <f t="shared" si="1"/>
        <v>488.25</v>
      </c>
      <c r="M51" s="62">
        <f t="shared" si="2"/>
        <v>1871.625</v>
      </c>
      <c r="N51" s="62"/>
      <c r="O51" s="178"/>
      <c r="P51" s="178"/>
      <c r="Q51" s="62"/>
      <c r="R51" s="178"/>
      <c r="S51" s="178"/>
      <c r="T51" s="62">
        <f t="shared" si="0"/>
        <v>5614.875</v>
      </c>
      <c r="U51" s="62">
        <f t="shared" si="3"/>
        <v>67378.5</v>
      </c>
      <c r="V51" s="28">
        <v>0.6</v>
      </c>
      <c r="W51" s="25">
        <f>T51*V51</f>
        <v>3368.9249999999997</v>
      </c>
      <c r="X51" s="30">
        <f t="shared" si="7"/>
        <v>8983.8</v>
      </c>
      <c r="Y51" s="25">
        <v>0.795</v>
      </c>
      <c r="Z51" s="25">
        <f>X51*Y51</f>
        <v>7142.121</v>
      </c>
    </row>
    <row r="52" spans="1:26" ht="18" customHeight="1">
      <c r="A52" s="26">
        <f t="shared" si="8"/>
        <v>26</v>
      </c>
      <c r="B52" s="59" t="s">
        <v>14</v>
      </c>
      <c r="C52" s="60"/>
      <c r="D52" s="194"/>
      <c r="E52" s="58">
        <v>1</v>
      </c>
      <c r="F52" s="62">
        <v>3200</v>
      </c>
      <c r="G52" s="61">
        <v>15</v>
      </c>
      <c r="H52" s="62">
        <v>45</v>
      </c>
      <c r="I52" s="61"/>
      <c r="J52" s="61"/>
      <c r="K52" s="63">
        <v>0.1</v>
      </c>
      <c r="L52" s="62">
        <f t="shared" si="1"/>
        <v>324.5</v>
      </c>
      <c r="M52" s="62">
        <f t="shared" si="2"/>
        <v>1784.75</v>
      </c>
      <c r="N52" s="62"/>
      <c r="O52" s="61"/>
      <c r="P52" s="61"/>
      <c r="Q52" s="62"/>
      <c r="R52" s="62"/>
      <c r="S52" s="62"/>
      <c r="T52" s="62">
        <f t="shared" si="0"/>
        <v>5354.25</v>
      </c>
      <c r="U52" s="62">
        <f t="shared" si="3"/>
        <v>64251</v>
      </c>
      <c r="V52" s="28">
        <v>0.5</v>
      </c>
      <c r="W52" s="25">
        <f>T52*V52</f>
        <v>2677.125</v>
      </c>
      <c r="X52" s="30">
        <f t="shared" si="7"/>
        <v>8031.375</v>
      </c>
      <c r="Y52" s="25">
        <v>0.795</v>
      </c>
      <c r="Z52" s="25">
        <f>X52*Y52</f>
        <v>6384.943125000001</v>
      </c>
    </row>
    <row r="53" spans="1:26" ht="18" customHeight="1">
      <c r="A53" s="26">
        <f t="shared" si="8"/>
        <v>27</v>
      </c>
      <c r="B53" s="59" t="s">
        <v>14</v>
      </c>
      <c r="C53" s="60"/>
      <c r="D53" s="194"/>
      <c r="E53" s="58">
        <v>1</v>
      </c>
      <c r="F53" s="62">
        <v>3200</v>
      </c>
      <c r="G53" s="61">
        <v>15</v>
      </c>
      <c r="H53" s="62">
        <v>45</v>
      </c>
      <c r="I53" s="61"/>
      <c r="J53" s="61"/>
      <c r="K53" s="63">
        <v>0.15</v>
      </c>
      <c r="L53" s="62">
        <f t="shared" si="1"/>
        <v>486.75</v>
      </c>
      <c r="M53" s="62">
        <f t="shared" si="2"/>
        <v>1865.875</v>
      </c>
      <c r="N53" s="62"/>
      <c r="O53" s="61"/>
      <c r="P53" s="61"/>
      <c r="Q53" s="62"/>
      <c r="R53" s="62"/>
      <c r="S53" s="62"/>
      <c r="T53" s="62">
        <f t="shared" si="0"/>
        <v>5597.625</v>
      </c>
      <c r="U53" s="62">
        <f t="shared" si="3"/>
        <v>67171.5</v>
      </c>
      <c r="V53" s="28">
        <v>0.5</v>
      </c>
      <c r="W53" s="25">
        <f>T53*V53</f>
        <v>2798.8125</v>
      </c>
      <c r="X53" s="30">
        <f t="shared" si="7"/>
        <v>8396.4375</v>
      </c>
      <c r="Y53" s="25">
        <v>0.795</v>
      </c>
      <c r="Z53" s="25">
        <f>X53*Y53</f>
        <v>6675.167812500001</v>
      </c>
    </row>
    <row r="54" spans="1:26" ht="18" customHeight="1">
      <c r="A54" s="26">
        <f t="shared" si="8"/>
        <v>28</v>
      </c>
      <c r="B54" s="59" t="s">
        <v>14</v>
      </c>
      <c r="C54" s="60"/>
      <c r="D54" s="194"/>
      <c r="E54" s="58">
        <v>1</v>
      </c>
      <c r="F54" s="62">
        <v>3200</v>
      </c>
      <c r="G54" s="61">
        <v>15</v>
      </c>
      <c r="H54" s="62">
        <v>45</v>
      </c>
      <c r="I54" s="61"/>
      <c r="J54" s="61"/>
      <c r="K54" s="63">
        <v>0.15</v>
      </c>
      <c r="L54" s="62">
        <f t="shared" si="1"/>
        <v>486.75</v>
      </c>
      <c r="M54" s="62">
        <f t="shared" si="2"/>
        <v>1865.875</v>
      </c>
      <c r="N54" s="62"/>
      <c r="O54" s="61"/>
      <c r="P54" s="61"/>
      <c r="Q54" s="62"/>
      <c r="R54" s="62"/>
      <c r="S54" s="62"/>
      <c r="T54" s="62">
        <f t="shared" si="0"/>
        <v>5597.625</v>
      </c>
      <c r="U54" s="62">
        <f t="shared" si="3"/>
        <v>67171.5</v>
      </c>
      <c r="V54" s="28">
        <v>0.5</v>
      </c>
      <c r="W54" s="25">
        <f>T54*V54</f>
        <v>2798.8125</v>
      </c>
      <c r="X54" s="30">
        <f t="shared" si="7"/>
        <v>8396.4375</v>
      </c>
      <c r="Y54" s="25">
        <v>0.795</v>
      </c>
      <c r="Z54" s="25">
        <f>X54*Y54</f>
        <v>6675.167812500001</v>
      </c>
    </row>
    <row r="55" spans="1:30" s="105" customFormat="1" ht="18" customHeight="1">
      <c r="A55" s="26">
        <f t="shared" si="8"/>
        <v>29</v>
      </c>
      <c r="B55" s="59" t="s">
        <v>14</v>
      </c>
      <c r="C55" s="205"/>
      <c r="D55" s="214" t="s">
        <v>220</v>
      </c>
      <c r="E55" s="58">
        <v>1</v>
      </c>
      <c r="F55" s="62">
        <v>3200</v>
      </c>
      <c r="G55" s="61">
        <v>15</v>
      </c>
      <c r="H55" s="62">
        <v>45</v>
      </c>
      <c r="I55" s="61"/>
      <c r="J55" s="61"/>
      <c r="K55" s="63"/>
      <c r="L55" s="62">
        <f t="shared" si="1"/>
        <v>0</v>
      </c>
      <c r="M55" s="62">
        <f t="shared" si="2"/>
        <v>1622.5</v>
      </c>
      <c r="N55" s="62"/>
      <c r="O55" s="61"/>
      <c r="P55" s="61"/>
      <c r="Q55" s="62"/>
      <c r="R55" s="62"/>
      <c r="S55" s="62"/>
      <c r="T55" s="62">
        <f t="shared" si="0"/>
        <v>4867.5</v>
      </c>
      <c r="U55" s="62">
        <f t="shared" si="3"/>
        <v>58410</v>
      </c>
      <c r="V55" s="28"/>
      <c r="W55" s="25"/>
      <c r="X55" s="30"/>
      <c r="Y55" s="25"/>
      <c r="Z55" s="25"/>
      <c r="AA55" s="4"/>
      <c r="AB55" s="4"/>
      <c r="AC55" s="4"/>
      <c r="AD55" s="138"/>
    </row>
    <row r="56" spans="1:30" s="105" customFormat="1" ht="18" customHeight="1">
      <c r="A56" s="26">
        <f t="shared" si="8"/>
        <v>30</v>
      </c>
      <c r="B56" s="59" t="s">
        <v>14</v>
      </c>
      <c r="C56" s="205"/>
      <c r="D56" s="215">
        <v>42804</v>
      </c>
      <c r="E56" s="58">
        <v>1</v>
      </c>
      <c r="F56" s="62">
        <v>3200</v>
      </c>
      <c r="G56" s="61">
        <v>15</v>
      </c>
      <c r="H56" s="62">
        <v>45</v>
      </c>
      <c r="I56" s="61"/>
      <c r="J56" s="61"/>
      <c r="K56" s="63"/>
      <c r="L56" s="62">
        <f t="shared" si="1"/>
        <v>0</v>
      </c>
      <c r="M56" s="62">
        <f t="shared" si="2"/>
        <v>1622.5</v>
      </c>
      <c r="N56" s="62"/>
      <c r="O56" s="61"/>
      <c r="P56" s="61"/>
      <c r="Q56" s="62"/>
      <c r="R56" s="62"/>
      <c r="S56" s="62"/>
      <c r="T56" s="62">
        <f t="shared" si="0"/>
        <v>4867.5</v>
      </c>
      <c r="U56" s="62">
        <f t="shared" si="3"/>
        <v>58410</v>
      </c>
      <c r="V56" s="28"/>
      <c r="W56" s="25"/>
      <c r="X56" s="30"/>
      <c r="Y56" s="25"/>
      <c r="Z56" s="25"/>
      <c r="AA56" s="4"/>
      <c r="AB56" s="4"/>
      <c r="AC56" s="4"/>
      <c r="AD56" s="138"/>
    </row>
    <row r="57" spans="1:30" s="105" customFormat="1" ht="18" customHeight="1">
      <c r="A57" s="26">
        <f t="shared" si="8"/>
        <v>31</v>
      </c>
      <c r="B57" s="59" t="s">
        <v>14</v>
      </c>
      <c r="C57" s="205"/>
      <c r="D57" s="214" t="s">
        <v>220</v>
      </c>
      <c r="E57" s="58">
        <v>1</v>
      </c>
      <c r="F57" s="62">
        <v>3200</v>
      </c>
      <c r="G57" s="61">
        <v>15</v>
      </c>
      <c r="H57" s="62">
        <v>45</v>
      </c>
      <c r="I57" s="61"/>
      <c r="J57" s="61"/>
      <c r="K57" s="63">
        <v>0.2</v>
      </c>
      <c r="L57" s="62">
        <f t="shared" si="1"/>
        <v>649</v>
      </c>
      <c r="M57" s="62">
        <f t="shared" si="2"/>
        <v>1947</v>
      </c>
      <c r="N57" s="62"/>
      <c r="O57" s="61"/>
      <c r="P57" s="61"/>
      <c r="Q57" s="62"/>
      <c r="R57" s="62"/>
      <c r="S57" s="62"/>
      <c r="T57" s="62">
        <f t="shared" si="0"/>
        <v>5841</v>
      </c>
      <c r="U57" s="62">
        <f t="shared" si="3"/>
        <v>70092</v>
      </c>
      <c r="V57" s="28"/>
      <c r="W57" s="25"/>
      <c r="X57" s="30"/>
      <c r="Y57" s="25"/>
      <c r="Z57" s="25"/>
      <c r="AA57" s="4"/>
      <c r="AB57" s="4"/>
      <c r="AC57" s="4"/>
      <c r="AD57" s="138"/>
    </row>
    <row r="58" spans="1:30" s="105" customFormat="1" ht="18" customHeight="1">
      <c r="A58" s="26">
        <f t="shared" si="8"/>
        <v>32</v>
      </c>
      <c r="B58" s="59" t="s">
        <v>14</v>
      </c>
      <c r="C58" s="205"/>
      <c r="D58" s="215">
        <v>42804</v>
      </c>
      <c r="E58" s="58">
        <v>1</v>
      </c>
      <c r="F58" s="62">
        <v>3200</v>
      </c>
      <c r="G58" s="61">
        <v>15</v>
      </c>
      <c r="H58" s="62">
        <v>45</v>
      </c>
      <c r="I58" s="61"/>
      <c r="J58" s="61"/>
      <c r="K58" s="63"/>
      <c r="L58" s="62">
        <f t="shared" si="1"/>
        <v>0</v>
      </c>
      <c r="M58" s="62">
        <f t="shared" si="2"/>
        <v>1622.5</v>
      </c>
      <c r="N58" s="62"/>
      <c r="O58" s="61"/>
      <c r="P58" s="61"/>
      <c r="Q58" s="62"/>
      <c r="R58" s="62"/>
      <c r="S58" s="62"/>
      <c r="T58" s="62">
        <f t="shared" si="0"/>
        <v>4867.5</v>
      </c>
      <c r="U58" s="62">
        <f t="shared" si="3"/>
        <v>58410</v>
      </c>
      <c r="V58" s="28"/>
      <c r="W58" s="25"/>
      <c r="X58" s="30"/>
      <c r="Y58" s="25"/>
      <c r="Z58" s="25"/>
      <c r="AA58" s="4"/>
      <c r="AB58" s="4"/>
      <c r="AC58" s="4"/>
      <c r="AD58" s="138"/>
    </row>
    <row r="59" spans="1:26" ht="19.5" customHeight="1">
      <c r="A59" s="26"/>
      <c r="B59" s="186" t="s">
        <v>31</v>
      </c>
      <c r="C59" s="187"/>
      <c r="D59" s="213"/>
      <c r="E59" s="58"/>
      <c r="F59" s="62"/>
      <c r="G59" s="61"/>
      <c r="H59" s="62"/>
      <c r="I59" s="61"/>
      <c r="J59" s="61"/>
      <c r="K59" s="63"/>
      <c r="L59" s="62"/>
      <c r="M59" s="62"/>
      <c r="N59" s="62"/>
      <c r="O59" s="61"/>
      <c r="P59" s="61"/>
      <c r="Q59" s="62"/>
      <c r="R59" s="62"/>
      <c r="S59" s="62"/>
      <c r="T59" s="62"/>
      <c r="U59" s="62"/>
      <c r="V59" s="28"/>
      <c r="W59" s="25"/>
      <c r="X59" s="30"/>
      <c r="Y59" s="25"/>
      <c r="Z59" s="25"/>
    </row>
    <row r="60" spans="1:30" s="105" customFormat="1" ht="18" customHeight="1">
      <c r="A60" s="26">
        <v>33</v>
      </c>
      <c r="B60" s="59" t="s">
        <v>13</v>
      </c>
      <c r="C60" s="187"/>
      <c r="D60" s="194">
        <v>7.03</v>
      </c>
      <c r="E60" s="58">
        <v>1</v>
      </c>
      <c r="F60" s="62">
        <v>3400</v>
      </c>
      <c r="G60" s="61">
        <v>9</v>
      </c>
      <c r="H60" s="62">
        <v>90</v>
      </c>
      <c r="I60" s="61"/>
      <c r="J60" s="61"/>
      <c r="K60" s="63">
        <v>0.2</v>
      </c>
      <c r="L60" s="62">
        <f t="shared" si="1"/>
        <v>698</v>
      </c>
      <c r="M60" s="62">
        <f t="shared" si="2"/>
        <v>2094</v>
      </c>
      <c r="N60" s="62"/>
      <c r="O60" s="61"/>
      <c r="P60" s="61"/>
      <c r="Q60" s="62"/>
      <c r="R60" s="62"/>
      <c r="S60" s="62"/>
      <c r="T60" s="62">
        <f>F60+H60+L60+M60+R60+S60+P60+J60+N60</f>
        <v>6282</v>
      </c>
      <c r="U60" s="62">
        <f t="shared" si="3"/>
        <v>75384</v>
      </c>
      <c r="V60" s="28"/>
      <c r="W60" s="25"/>
      <c r="X60" s="30"/>
      <c r="Y60" s="25"/>
      <c r="Z60" s="25"/>
      <c r="AA60" s="4"/>
      <c r="AB60" s="4"/>
      <c r="AC60" s="4"/>
      <c r="AD60" s="138"/>
    </row>
    <row r="61" spans="1:26" ht="18" customHeight="1">
      <c r="A61" s="26">
        <f>A60+1</f>
        <v>34</v>
      </c>
      <c r="B61" s="59" t="s">
        <v>14</v>
      </c>
      <c r="C61" s="60"/>
      <c r="D61" s="194"/>
      <c r="E61" s="58">
        <v>1</v>
      </c>
      <c r="F61" s="62">
        <v>3200</v>
      </c>
      <c r="G61" s="61">
        <v>11</v>
      </c>
      <c r="H61" s="62">
        <v>70</v>
      </c>
      <c r="I61" s="61"/>
      <c r="J61" s="61"/>
      <c r="K61" s="63">
        <v>0.4</v>
      </c>
      <c r="L61" s="62">
        <f t="shared" si="1"/>
        <v>1308</v>
      </c>
      <c r="M61" s="62">
        <f t="shared" si="2"/>
        <v>2289</v>
      </c>
      <c r="N61" s="62"/>
      <c r="O61" s="61"/>
      <c r="P61" s="61"/>
      <c r="Q61" s="62"/>
      <c r="R61" s="62"/>
      <c r="S61" s="62"/>
      <c r="T61" s="62">
        <f>F61+H61+L61+M61+R61+S61+P61+J61+N61</f>
        <v>6867</v>
      </c>
      <c r="U61" s="62">
        <f t="shared" si="3"/>
        <v>82404</v>
      </c>
      <c r="V61" s="28">
        <v>0.5</v>
      </c>
      <c r="W61" s="25">
        <f aca="true" t="shared" si="9" ref="W61:W72">T61*V61</f>
        <v>3433.5</v>
      </c>
      <c r="X61" s="30">
        <f t="shared" si="7"/>
        <v>10300.5</v>
      </c>
      <c r="Y61" s="25">
        <v>0.795</v>
      </c>
      <c r="Z61" s="25">
        <f aca="true" t="shared" si="10" ref="Z61:Z72">X61*Y61</f>
        <v>8188.8975</v>
      </c>
    </row>
    <row r="62" spans="1:26" ht="18" customHeight="1">
      <c r="A62" s="26">
        <f aca="true" t="shared" si="11" ref="A62:A72">A61+1</f>
        <v>35</v>
      </c>
      <c r="B62" s="59" t="s">
        <v>19</v>
      </c>
      <c r="C62" s="60"/>
      <c r="D62" s="194"/>
      <c r="E62" s="58">
        <v>1</v>
      </c>
      <c r="F62" s="62">
        <v>2089</v>
      </c>
      <c r="G62" s="61"/>
      <c r="H62" s="62"/>
      <c r="I62" s="61"/>
      <c r="J62" s="61"/>
      <c r="K62" s="63"/>
      <c r="L62" s="62">
        <f t="shared" si="1"/>
        <v>0</v>
      </c>
      <c r="M62" s="62">
        <f t="shared" si="2"/>
        <v>1044.5</v>
      </c>
      <c r="N62" s="62">
        <f>3200-F62-H62-L62-M62</f>
        <v>66.5</v>
      </c>
      <c r="O62" s="61"/>
      <c r="P62" s="61"/>
      <c r="Q62" s="62"/>
      <c r="R62" s="62"/>
      <c r="S62" s="62"/>
      <c r="T62" s="62">
        <f>F62+H62+L62+M62+R62+S62+P62+J62+N62</f>
        <v>3200</v>
      </c>
      <c r="U62" s="62">
        <f t="shared" si="3"/>
        <v>38400</v>
      </c>
      <c r="V62" s="28">
        <v>0.5</v>
      </c>
      <c r="W62" s="25">
        <f t="shared" si="9"/>
        <v>1600</v>
      </c>
      <c r="X62" s="30">
        <f t="shared" si="7"/>
        <v>4800</v>
      </c>
      <c r="Y62" s="25">
        <v>0.795</v>
      </c>
      <c r="Z62" s="25">
        <f t="shared" si="10"/>
        <v>3816</v>
      </c>
    </row>
    <row r="63" spans="1:30" s="105" customFormat="1" ht="18" customHeight="1">
      <c r="A63" s="26">
        <f t="shared" si="11"/>
        <v>36</v>
      </c>
      <c r="B63" s="59" t="s">
        <v>29</v>
      </c>
      <c r="C63" s="187"/>
      <c r="D63" s="194"/>
      <c r="E63" s="58">
        <v>1</v>
      </c>
      <c r="F63" s="62">
        <v>1895</v>
      </c>
      <c r="G63" s="61"/>
      <c r="H63" s="62"/>
      <c r="I63" s="61"/>
      <c r="J63" s="61"/>
      <c r="K63" s="63">
        <v>0.15</v>
      </c>
      <c r="L63" s="62">
        <f t="shared" si="1"/>
        <v>284.25</v>
      </c>
      <c r="M63" s="62">
        <f t="shared" si="2"/>
        <v>1089.625</v>
      </c>
      <c r="N63" s="62"/>
      <c r="O63" s="61"/>
      <c r="P63" s="61"/>
      <c r="Q63" s="62"/>
      <c r="R63" s="62"/>
      <c r="S63" s="62"/>
      <c r="T63" s="62">
        <f aca="true" t="shared" si="12" ref="T63:T122">F63+H63+L63+M63+R63+S63+P63+J63+N63</f>
        <v>3268.875</v>
      </c>
      <c r="U63" s="62">
        <f t="shared" si="3"/>
        <v>39226.5</v>
      </c>
      <c r="V63" s="28">
        <v>0.5</v>
      </c>
      <c r="W63" s="25">
        <f t="shared" si="9"/>
        <v>1634.4375</v>
      </c>
      <c r="X63" s="30">
        <f t="shared" si="7"/>
        <v>4903.3125</v>
      </c>
      <c r="Y63" s="25">
        <v>0.795</v>
      </c>
      <c r="Z63" s="25">
        <f t="shared" si="10"/>
        <v>3898.1334375</v>
      </c>
      <c r="AA63" s="4"/>
      <c r="AB63" s="4"/>
      <c r="AC63" s="4"/>
      <c r="AD63" s="138"/>
    </row>
    <row r="64" spans="1:29" s="138" customFormat="1" ht="18" customHeight="1">
      <c r="A64" s="26">
        <f t="shared" si="11"/>
        <v>37</v>
      </c>
      <c r="B64" s="59" t="s">
        <v>233</v>
      </c>
      <c r="C64" s="60" t="s">
        <v>78</v>
      </c>
      <c r="D64" s="194"/>
      <c r="E64" s="58">
        <v>1</v>
      </c>
      <c r="F64" s="62">
        <v>1895</v>
      </c>
      <c r="G64" s="61"/>
      <c r="H64" s="62"/>
      <c r="I64" s="61"/>
      <c r="J64" s="61"/>
      <c r="K64" s="63"/>
      <c r="L64" s="62">
        <f t="shared" si="1"/>
        <v>0</v>
      </c>
      <c r="M64" s="62">
        <f t="shared" si="2"/>
        <v>947.5</v>
      </c>
      <c r="N64" s="62">
        <f>3200-F64-H64-L64-M64</f>
        <v>357.5</v>
      </c>
      <c r="O64" s="61"/>
      <c r="P64" s="61"/>
      <c r="Q64" s="62"/>
      <c r="R64" s="62"/>
      <c r="S64" s="62"/>
      <c r="T64" s="62">
        <f t="shared" si="12"/>
        <v>3200</v>
      </c>
      <c r="U64" s="62">
        <f t="shared" si="3"/>
        <v>38400</v>
      </c>
      <c r="V64" s="28">
        <v>0.5</v>
      </c>
      <c r="W64" s="25">
        <f t="shared" si="9"/>
        <v>1600</v>
      </c>
      <c r="X64" s="30">
        <f t="shared" si="7"/>
        <v>4800</v>
      </c>
      <c r="Y64" s="25">
        <v>0.795</v>
      </c>
      <c r="Z64" s="25">
        <f t="shared" si="10"/>
        <v>3816</v>
      </c>
      <c r="AA64" s="4"/>
      <c r="AB64" s="4"/>
      <c r="AC64" s="4"/>
    </row>
    <row r="65" spans="1:30" s="105" customFormat="1" ht="18" customHeight="1">
      <c r="A65" s="26">
        <f t="shared" si="11"/>
        <v>38</v>
      </c>
      <c r="B65" s="59" t="s">
        <v>234</v>
      </c>
      <c r="C65" s="187" t="s">
        <v>79</v>
      </c>
      <c r="D65" s="194"/>
      <c r="E65" s="58">
        <v>1</v>
      </c>
      <c r="F65" s="62">
        <v>1895</v>
      </c>
      <c r="G65" s="61"/>
      <c r="H65" s="62"/>
      <c r="I65" s="61"/>
      <c r="J65" s="61"/>
      <c r="K65" s="63">
        <v>0.3</v>
      </c>
      <c r="L65" s="62">
        <f t="shared" si="1"/>
        <v>568.5</v>
      </c>
      <c r="M65" s="62">
        <f t="shared" si="2"/>
        <v>1231.75</v>
      </c>
      <c r="N65" s="62"/>
      <c r="O65" s="61"/>
      <c r="P65" s="61"/>
      <c r="Q65" s="62"/>
      <c r="R65" s="62"/>
      <c r="S65" s="62"/>
      <c r="T65" s="62">
        <f t="shared" si="12"/>
        <v>3695.25</v>
      </c>
      <c r="U65" s="62">
        <f t="shared" si="3"/>
        <v>44343</v>
      </c>
      <c r="V65" s="28">
        <v>0.5</v>
      </c>
      <c r="W65" s="25">
        <f t="shared" si="9"/>
        <v>1847.625</v>
      </c>
      <c r="X65" s="30">
        <f t="shared" si="7"/>
        <v>5542.875</v>
      </c>
      <c r="Y65" s="25">
        <v>0.795</v>
      </c>
      <c r="Z65" s="25">
        <f t="shared" si="10"/>
        <v>4406.585625000001</v>
      </c>
      <c r="AA65" s="4"/>
      <c r="AB65" s="4"/>
      <c r="AC65" s="4"/>
      <c r="AD65" s="138"/>
    </row>
    <row r="66" spans="1:29" s="138" customFormat="1" ht="18" customHeight="1">
      <c r="A66" s="26">
        <f t="shared" si="11"/>
        <v>39</v>
      </c>
      <c r="B66" s="59" t="s">
        <v>235</v>
      </c>
      <c r="C66" s="60" t="s">
        <v>86</v>
      </c>
      <c r="D66" s="194"/>
      <c r="E66" s="58">
        <v>1</v>
      </c>
      <c r="F66" s="62">
        <v>1895</v>
      </c>
      <c r="G66" s="61"/>
      <c r="H66" s="62"/>
      <c r="I66" s="61"/>
      <c r="J66" s="61"/>
      <c r="K66" s="63"/>
      <c r="L66" s="62">
        <f t="shared" si="1"/>
        <v>0</v>
      </c>
      <c r="M66" s="62">
        <f t="shared" si="2"/>
        <v>947.5</v>
      </c>
      <c r="N66" s="62">
        <f>3200-F66-H66-L66-M66</f>
        <v>357.5</v>
      </c>
      <c r="O66" s="61"/>
      <c r="P66" s="61"/>
      <c r="Q66" s="62"/>
      <c r="R66" s="62"/>
      <c r="S66" s="62"/>
      <c r="T66" s="62">
        <f t="shared" si="12"/>
        <v>3200</v>
      </c>
      <c r="U66" s="62">
        <f t="shared" si="3"/>
        <v>38400</v>
      </c>
      <c r="V66" s="28">
        <v>0.5</v>
      </c>
      <c r="W66" s="25">
        <f t="shared" si="9"/>
        <v>1600</v>
      </c>
      <c r="X66" s="30">
        <f t="shared" si="7"/>
        <v>4800</v>
      </c>
      <c r="Y66" s="25">
        <v>0.795</v>
      </c>
      <c r="Z66" s="25">
        <f t="shared" si="10"/>
        <v>3816</v>
      </c>
      <c r="AA66" s="4"/>
      <c r="AB66" s="4"/>
      <c r="AC66" s="4"/>
    </row>
    <row r="67" spans="1:29" s="138" customFormat="1" ht="18" customHeight="1">
      <c r="A67" s="26">
        <f t="shared" si="11"/>
        <v>40</v>
      </c>
      <c r="B67" s="59" t="s">
        <v>236</v>
      </c>
      <c r="C67" s="60" t="s">
        <v>81</v>
      </c>
      <c r="D67" s="194"/>
      <c r="E67" s="58">
        <v>1</v>
      </c>
      <c r="F67" s="62">
        <v>1895</v>
      </c>
      <c r="G67" s="61"/>
      <c r="H67" s="62"/>
      <c r="I67" s="61"/>
      <c r="J67" s="61"/>
      <c r="K67" s="227">
        <v>0.4</v>
      </c>
      <c r="L67" s="62">
        <f t="shared" si="1"/>
        <v>758</v>
      </c>
      <c r="M67" s="62">
        <f t="shared" si="2"/>
        <v>1326.5</v>
      </c>
      <c r="N67" s="62"/>
      <c r="O67" s="61"/>
      <c r="P67" s="61"/>
      <c r="Q67" s="62"/>
      <c r="R67" s="62"/>
      <c r="S67" s="62"/>
      <c r="T67" s="62">
        <f t="shared" si="12"/>
        <v>3979.5</v>
      </c>
      <c r="U67" s="62">
        <f t="shared" si="3"/>
        <v>47754</v>
      </c>
      <c r="V67" s="28">
        <v>0.5</v>
      </c>
      <c r="W67" s="25">
        <f t="shared" si="9"/>
        <v>1989.75</v>
      </c>
      <c r="X67" s="30">
        <f t="shared" si="7"/>
        <v>5969.25</v>
      </c>
      <c r="Y67" s="25">
        <v>0.795</v>
      </c>
      <c r="Z67" s="25">
        <f t="shared" si="10"/>
        <v>4745.55375</v>
      </c>
      <c r="AA67" s="4"/>
      <c r="AB67" s="4"/>
      <c r="AC67" s="4"/>
    </row>
    <row r="68" spans="1:30" s="105" customFormat="1" ht="15.75" customHeight="1">
      <c r="A68" s="26">
        <f t="shared" si="11"/>
        <v>41</v>
      </c>
      <c r="B68" s="59" t="s">
        <v>237</v>
      </c>
      <c r="C68" s="187" t="s">
        <v>87</v>
      </c>
      <c r="D68" s="194"/>
      <c r="E68" s="58">
        <v>1</v>
      </c>
      <c r="F68" s="62">
        <v>1895</v>
      </c>
      <c r="G68" s="61"/>
      <c r="H68" s="62"/>
      <c r="I68" s="61"/>
      <c r="J68" s="61"/>
      <c r="K68" s="227">
        <v>0.1</v>
      </c>
      <c r="L68" s="62">
        <f t="shared" si="1"/>
        <v>189.5</v>
      </c>
      <c r="M68" s="62">
        <f t="shared" si="2"/>
        <v>1042.25</v>
      </c>
      <c r="N68" s="62">
        <f>3200-F68-H68-L68-M68</f>
        <v>73.25</v>
      </c>
      <c r="O68" s="61"/>
      <c r="P68" s="61"/>
      <c r="Q68" s="62"/>
      <c r="R68" s="62"/>
      <c r="S68" s="62"/>
      <c r="T68" s="62">
        <f t="shared" si="12"/>
        <v>3200</v>
      </c>
      <c r="U68" s="62">
        <f t="shared" si="3"/>
        <v>38400</v>
      </c>
      <c r="V68" s="28">
        <v>0.5</v>
      </c>
      <c r="W68" s="25">
        <f t="shared" si="9"/>
        <v>1600</v>
      </c>
      <c r="X68" s="30">
        <f t="shared" si="7"/>
        <v>4800</v>
      </c>
      <c r="Y68" s="25">
        <v>0.795</v>
      </c>
      <c r="Z68" s="25">
        <f t="shared" si="10"/>
        <v>3816</v>
      </c>
      <c r="AA68" s="4"/>
      <c r="AB68" s="4"/>
      <c r="AC68" s="4"/>
      <c r="AD68" s="138"/>
    </row>
    <row r="69" spans="1:29" s="138" customFormat="1" ht="18" customHeight="1">
      <c r="A69" s="26">
        <f t="shared" si="11"/>
        <v>42</v>
      </c>
      <c r="B69" s="59" t="s">
        <v>238</v>
      </c>
      <c r="C69" s="60" t="s">
        <v>88</v>
      </c>
      <c r="D69" s="194"/>
      <c r="E69" s="58">
        <v>1</v>
      </c>
      <c r="F69" s="62">
        <v>1895</v>
      </c>
      <c r="G69" s="61"/>
      <c r="H69" s="62"/>
      <c r="I69" s="61"/>
      <c r="J69" s="61"/>
      <c r="K69" s="63">
        <v>0.25</v>
      </c>
      <c r="L69" s="62">
        <f t="shared" si="1"/>
        <v>473.75</v>
      </c>
      <c r="M69" s="62">
        <f t="shared" si="2"/>
        <v>1184.375</v>
      </c>
      <c r="N69" s="62"/>
      <c r="O69" s="61"/>
      <c r="P69" s="61"/>
      <c r="Q69" s="62"/>
      <c r="R69" s="62"/>
      <c r="S69" s="62"/>
      <c r="T69" s="62">
        <f t="shared" si="12"/>
        <v>3553.125</v>
      </c>
      <c r="U69" s="62">
        <f t="shared" si="3"/>
        <v>42637.5</v>
      </c>
      <c r="V69" s="28">
        <v>0.5</v>
      </c>
      <c r="W69" s="25">
        <f t="shared" si="9"/>
        <v>1776.5625</v>
      </c>
      <c r="X69" s="30">
        <f t="shared" si="7"/>
        <v>5329.6875</v>
      </c>
      <c r="Y69" s="25">
        <v>0.795</v>
      </c>
      <c r="Z69" s="25">
        <f t="shared" si="10"/>
        <v>4237.1015625</v>
      </c>
      <c r="AA69" s="4"/>
      <c r="AB69" s="4"/>
      <c r="AC69" s="4"/>
    </row>
    <row r="70" spans="1:29" s="138" customFormat="1" ht="18" customHeight="1">
      <c r="A70" s="26">
        <f t="shared" si="11"/>
        <v>43</v>
      </c>
      <c r="B70" s="59" t="s">
        <v>239</v>
      </c>
      <c r="C70" s="60" t="s">
        <v>82</v>
      </c>
      <c r="D70" s="194"/>
      <c r="E70" s="58">
        <v>1</v>
      </c>
      <c r="F70" s="62">
        <v>1895</v>
      </c>
      <c r="G70" s="61"/>
      <c r="H70" s="62"/>
      <c r="I70" s="61"/>
      <c r="J70" s="61"/>
      <c r="K70" s="63"/>
      <c r="L70" s="62">
        <f t="shared" si="1"/>
        <v>0</v>
      </c>
      <c r="M70" s="62">
        <f t="shared" si="2"/>
        <v>947.5</v>
      </c>
      <c r="N70" s="62">
        <f>3200-F70-H70-L70-M70</f>
        <v>357.5</v>
      </c>
      <c r="O70" s="61"/>
      <c r="P70" s="61"/>
      <c r="Q70" s="62"/>
      <c r="R70" s="62"/>
      <c r="S70" s="62"/>
      <c r="T70" s="62">
        <f t="shared" si="12"/>
        <v>3200</v>
      </c>
      <c r="U70" s="62">
        <f t="shared" si="3"/>
        <v>38400</v>
      </c>
      <c r="V70" s="28">
        <v>0.5</v>
      </c>
      <c r="W70" s="25">
        <f t="shared" si="9"/>
        <v>1600</v>
      </c>
      <c r="X70" s="30">
        <f t="shared" si="7"/>
        <v>4800</v>
      </c>
      <c r="Y70" s="25">
        <v>0.795</v>
      </c>
      <c r="Z70" s="25">
        <f t="shared" si="10"/>
        <v>3816</v>
      </c>
      <c r="AA70" s="4"/>
      <c r="AB70" s="4"/>
      <c r="AC70" s="4"/>
    </row>
    <row r="71" spans="1:29" s="138" customFormat="1" ht="18" customHeight="1">
      <c r="A71" s="26">
        <f t="shared" si="11"/>
        <v>44</v>
      </c>
      <c r="B71" s="59" t="s">
        <v>240</v>
      </c>
      <c r="C71" s="60" t="s">
        <v>89</v>
      </c>
      <c r="D71" s="194"/>
      <c r="E71" s="58">
        <v>1</v>
      </c>
      <c r="F71" s="62">
        <v>1895</v>
      </c>
      <c r="G71" s="61"/>
      <c r="H71" s="62"/>
      <c r="I71" s="63">
        <v>0.25</v>
      </c>
      <c r="J71" s="61">
        <f>F71*0.25</f>
        <v>473.75</v>
      </c>
      <c r="K71" s="63">
        <v>0.25</v>
      </c>
      <c r="L71" s="62">
        <f>(F71+H71+J71)*K71</f>
        <v>592.1875</v>
      </c>
      <c r="M71" s="62">
        <f>(F71+H71+L71+J71)*50%</f>
        <v>1480.46875</v>
      </c>
      <c r="N71" s="62"/>
      <c r="O71" s="61"/>
      <c r="P71" s="61"/>
      <c r="Q71" s="62"/>
      <c r="R71" s="62"/>
      <c r="S71" s="62"/>
      <c r="T71" s="62">
        <f t="shared" si="12"/>
        <v>4441.40625</v>
      </c>
      <c r="U71" s="62">
        <f t="shared" si="3"/>
        <v>53296.875</v>
      </c>
      <c r="V71" s="28">
        <v>0.5</v>
      </c>
      <c r="W71" s="25">
        <f t="shared" si="9"/>
        <v>2220.703125</v>
      </c>
      <c r="X71" s="30">
        <f t="shared" si="7"/>
        <v>6662.109375</v>
      </c>
      <c r="Y71" s="25">
        <v>0.795</v>
      </c>
      <c r="Z71" s="25">
        <f t="shared" si="10"/>
        <v>5296.376953125</v>
      </c>
      <c r="AA71" s="4"/>
      <c r="AB71" s="4"/>
      <c r="AC71" s="4"/>
    </row>
    <row r="72" spans="1:29" s="138" customFormat="1" ht="18" customHeight="1">
      <c r="A72" s="26">
        <f t="shared" si="11"/>
        <v>45</v>
      </c>
      <c r="B72" s="59" t="s">
        <v>241</v>
      </c>
      <c r="C72" s="60" t="s">
        <v>83</v>
      </c>
      <c r="D72" s="194"/>
      <c r="E72" s="58">
        <v>1</v>
      </c>
      <c r="F72" s="62">
        <v>1895</v>
      </c>
      <c r="G72" s="61"/>
      <c r="H72" s="62"/>
      <c r="I72" s="61"/>
      <c r="J72" s="61"/>
      <c r="K72" s="63">
        <v>0.3</v>
      </c>
      <c r="L72" s="62">
        <f>(F72+H72)*K72</f>
        <v>568.5</v>
      </c>
      <c r="M72" s="62">
        <f t="shared" si="2"/>
        <v>1231.75</v>
      </c>
      <c r="N72" s="62"/>
      <c r="O72" s="61"/>
      <c r="P72" s="61"/>
      <c r="Q72" s="62"/>
      <c r="R72" s="62"/>
      <c r="S72" s="62"/>
      <c r="T72" s="62">
        <f t="shared" si="12"/>
        <v>3695.25</v>
      </c>
      <c r="U72" s="62">
        <f t="shared" si="3"/>
        <v>44343</v>
      </c>
      <c r="V72" s="28">
        <v>0.5</v>
      </c>
      <c r="W72" s="25">
        <f t="shared" si="9"/>
        <v>1847.625</v>
      </c>
      <c r="X72" s="30">
        <f t="shared" si="7"/>
        <v>5542.875</v>
      </c>
      <c r="Y72" s="25">
        <v>0.795</v>
      </c>
      <c r="Z72" s="25">
        <f t="shared" si="10"/>
        <v>4406.585625000001</v>
      </c>
      <c r="AA72" s="4"/>
      <c r="AB72" s="4"/>
      <c r="AC72" s="4"/>
    </row>
    <row r="73" spans="1:29" s="138" customFormat="1" ht="21" customHeight="1">
      <c r="A73" s="26"/>
      <c r="B73" s="186" t="s">
        <v>48</v>
      </c>
      <c r="C73" s="60"/>
      <c r="D73" s="194"/>
      <c r="E73" s="58"/>
      <c r="F73" s="62"/>
      <c r="G73" s="61"/>
      <c r="H73" s="62"/>
      <c r="I73" s="61"/>
      <c r="J73" s="61"/>
      <c r="K73" s="63"/>
      <c r="L73" s="62"/>
      <c r="M73" s="62"/>
      <c r="N73" s="62"/>
      <c r="O73" s="61"/>
      <c r="P73" s="61"/>
      <c r="Q73" s="62"/>
      <c r="R73" s="62"/>
      <c r="S73" s="62"/>
      <c r="T73" s="62"/>
      <c r="U73" s="62"/>
      <c r="V73" s="28"/>
      <c r="W73" s="25"/>
      <c r="X73" s="30"/>
      <c r="Y73" s="25"/>
      <c r="Z73" s="25"/>
      <c r="AA73" s="4"/>
      <c r="AB73" s="4"/>
      <c r="AC73" s="4"/>
    </row>
    <row r="74" spans="1:30" s="105" customFormat="1" ht="18" customHeight="1">
      <c r="A74" s="26">
        <v>46</v>
      </c>
      <c r="B74" s="59" t="s">
        <v>13</v>
      </c>
      <c r="C74" s="187"/>
      <c r="D74" s="194"/>
      <c r="E74" s="58">
        <v>1</v>
      </c>
      <c r="F74" s="62">
        <v>3400</v>
      </c>
      <c r="G74" s="61">
        <v>12</v>
      </c>
      <c r="H74" s="62">
        <v>60</v>
      </c>
      <c r="I74" s="61"/>
      <c r="J74" s="61"/>
      <c r="K74" s="63">
        <v>0.15</v>
      </c>
      <c r="L74" s="62">
        <f t="shared" si="1"/>
        <v>519</v>
      </c>
      <c r="M74" s="62">
        <f t="shared" si="2"/>
        <v>1989.5</v>
      </c>
      <c r="N74" s="62"/>
      <c r="O74" s="61"/>
      <c r="P74" s="61"/>
      <c r="Q74" s="62"/>
      <c r="R74" s="62"/>
      <c r="S74" s="62"/>
      <c r="T74" s="62">
        <f t="shared" si="12"/>
        <v>5968.5</v>
      </c>
      <c r="U74" s="62">
        <f t="shared" si="3"/>
        <v>71622</v>
      </c>
      <c r="V74" s="28">
        <v>0.8</v>
      </c>
      <c r="W74" s="25">
        <f>T74*V74</f>
        <v>4774.8</v>
      </c>
      <c r="X74" s="30">
        <f t="shared" si="7"/>
        <v>10743.3</v>
      </c>
      <c r="Y74" s="25">
        <v>0.795</v>
      </c>
      <c r="Z74" s="25">
        <f>X74*Y74</f>
        <v>8540.923499999999</v>
      </c>
      <c r="AA74" s="4"/>
      <c r="AB74" s="4"/>
      <c r="AC74" s="4"/>
      <c r="AD74" s="138"/>
    </row>
    <row r="75" spans="1:30" s="105" customFormat="1" ht="18" customHeight="1">
      <c r="A75" s="26">
        <f>A74+1</f>
        <v>47</v>
      </c>
      <c r="B75" s="59" t="s">
        <v>27</v>
      </c>
      <c r="C75" s="187" t="s">
        <v>207</v>
      </c>
      <c r="D75" s="194" t="s">
        <v>216</v>
      </c>
      <c r="E75" s="58">
        <v>1</v>
      </c>
      <c r="F75" s="62">
        <v>3200</v>
      </c>
      <c r="G75" s="61">
        <v>13</v>
      </c>
      <c r="H75" s="62">
        <v>55</v>
      </c>
      <c r="I75" s="61"/>
      <c r="J75" s="61"/>
      <c r="K75" s="63">
        <v>0.1</v>
      </c>
      <c r="L75" s="62">
        <f t="shared" si="1"/>
        <v>325.5</v>
      </c>
      <c r="M75" s="62">
        <f t="shared" si="2"/>
        <v>1790.25</v>
      </c>
      <c r="N75" s="62"/>
      <c r="O75" s="61"/>
      <c r="P75" s="61"/>
      <c r="Q75" s="62"/>
      <c r="R75" s="62"/>
      <c r="S75" s="62"/>
      <c r="T75" s="62">
        <f t="shared" si="12"/>
        <v>5370.75</v>
      </c>
      <c r="U75" s="62">
        <f t="shared" si="3"/>
        <v>64449</v>
      </c>
      <c r="V75" s="28"/>
      <c r="W75" s="25"/>
      <c r="X75" s="30"/>
      <c r="Y75" s="25"/>
      <c r="Z75" s="25"/>
      <c r="AA75" s="4"/>
      <c r="AB75" s="4"/>
      <c r="AC75" s="4"/>
      <c r="AD75" s="138"/>
    </row>
    <row r="76" spans="1:41" s="105" customFormat="1" ht="18" customHeight="1">
      <c r="A76" s="26">
        <f>A75+1</f>
        <v>48</v>
      </c>
      <c r="B76" s="59" t="s">
        <v>27</v>
      </c>
      <c r="C76" s="187" t="s">
        <v>207</v>
      </c>
      <c r="D76" s="194" t="s">
        <v>214</v>
      </c>
      <c r="E76" s="58">
        <v>1</v>
      </c>
      <c r="F76" s="62">
        <v>3200</v>
      </c>
      <c r="G76" s="61">
        <v>14</v>
      </c>
      <c r="H76" s="62">
        <v>50</v>
      </c>
      <c r="I76" s="61"/>
      <c r="J76" s="61"/>
      <c r="K76" s="63">
        <v>0.1</v>
      </c>
      <c r="L76" s="62">
        <f t="shared" si="1"/>
        <v>325</v>
      </c>
      <c r="M76" s="62">
        <f t="shared" si="2"/>
        <v>1787.5</v>
      </c>
      <c r="N76" s="62"/>
      <c r="O76" s="61"/>
      <c r="P76" s="61"/>
      <c r="Q76" s="62"/>
      <c r="R76" s="62"/>
      <c r="S76" s="62"/>
      <c r="T76" s="62">
        <f t="shared" si="12"/>
        <v>5362.5</v>
      </c>
      <c r="U76" s="62">
        <f t="shared" si="3"/>
        <v>64350</v>
      </c>
      <c r="V76" s="28"/>
      <c r="W76" s="32"/>
      <c r="X76" s="173"/>
      <c r="Y76" s="32"/>
      <c r="Z76" s="32"/>
      <c r="AA76" s="3"/>
      <c r="AB76" s="3"/>
      <c r="AC76" s="3"/>
      <c r="AD76" s="203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</row>
    <row r="77" spans="1:30" s="105" customFormat="1" ht="18" customHeight="1">
      <c r="A77" s="26">
        <f>A76+1</f>
        <v>49</v>
      </c>
      <c r="B77" s="59" t="s">
        <v>27</v>
      </c>
      <c r="C77" s="187"/>
      <c r="D77" s="194"/>
      <c r="E77" s="58">
        <v>1</v>
      </c>
      <c r="F77" s="62">
        <v>3200</v>
      </c>
      <c r="G77" s="61">
        <v>13</v>
      </c>
      <c r="H77" s="62">
        <v>55</v>
      </c>
      <c r="I77" s="61"/>
      <c r="J77" s="61"/>
      <c r="K77" s="63">
        <v>0.15</v>
      </c>
      <c r="L77" s="62">
        <f>(F77+H77)*K77</f>
        <v>488.25</v>
      </c>
      <c r="M77" s="62">
        <f>(F77+H77+L77)*50%</f>
        <v>1871.625</v>
      </c>
      <c r="N77" s="62"/>
      <c r="O77" s="61"/>
      <c r="P77" s="61"/>
      <c r="Q77" s="62"/>
      <c r="R77" s="62"/>
      <c r="S77" s="62"/>
      <c r="T77" s="62">
        <f t="shared" si="12"/>
        <v>5614.875</v>
      </c>
      <c r="U77" s="62">
        <f t="shared" si="3"/>
        <v>67378.5</v>
      </c>
      <c r="V77" s="28"/>
      <c r="W77" s="25"/>
      <c r="X77" s="30"/>
      <c r="Y77" s="25"/>
      <c r="Z77" s="25"/>
      <c r="AA77" s="4"/>
      <c r="AB77" s="4"/>
      <c r="AC77" s="4"/>
      <c r="AD77" s="138"/>
    </row>
    <row r="78" spans="1:26" ht="33.75" customHeight="1">
      <c r="A78" s="26"/>
      <c r="B78" s="186" t="s">
        <v>26</v>
      </c>
      <c r="C78" s="187"/>
      <c r="D78" s="213"/>
      <c r="E78" s="58"/>
      <c r="F78" s="62"/>
      <c r="G78" s="61"/>
      <c r="H78" s="62"/>
      <c r="I78" s="61"/>
      <c r="J78" s="61"/>
      <c r="K78" s="63"/>
      <c r="L78" s="62"/>
      <c r="M78" s="62"/>
      <c r="N78" s="62"/>
      <c r="O78" s="61"/>
      <c r="P78" s="61"/>
      <c r="Q78" s="62"/>
      <c r="R78" s="62"/>
      <c r="S78" s="62"/>
      <c r="T78" s="62"/>
      <c r="U78" s="62"/>
      <c r="V78" s="28"/>
      <c r="W78" s="25"/>
      <c r="X78" s="30"/>
      <c r="Y78" s="25"/>
      <c r="Z78" s="25"/>
    </row>
    <row r="79" spans="1:30" s="105" customFormat="1" ht="18" customHeight="1">
      <c r="A79" s="26">
        <v>50</v>
      </c>
      <c r="B79" s="59" t="s">
        <v>13</v>
      </c>
      <c r="C79" s="187"/>
      <c r="D79" s="194" t="s">
        <v>215</v>
      </c>
      <c r="E79" s="58">
        <v>1</v>
      </c>
      <c r="F79" s="62">
        <v>3400</v>
      </c>
      <c r="G79" s="61">
        <v>12</v>
      </c>
      <c r="H79" s="62">
        <v>60</v>
      </c>
      <c r="I79" s="61"/>
      <c r="J79" s="61"/>
      <c r="K79" s="63">
        <v>0.25</v>
      </c>
      <c r="L79" s="62">
        <f t="shared" si="1"/>
        <v>865</v>
      </c>
      <c r="M79" s="62">
        <f t="shared" si="2"/>
        <v>2162.5</v>
      </c>
      <c r="N79" s="62"/>
      <c r="O79" s="61"/>
      <c r="P79" s="61"/>
      <c r="Q79" s="62"/>
      <c r="R79" s="62"/>
      <c r="S79" s="62"/>
      <c r="T79" s="62">
        <f t="shared" si="12"/>
        <v>6487.5</v>
      </c>
      <c r="U79" s="62">
        <f t="shared" si="3"/>
        <v>77850</v>
      </c>
      <c r="V79" s="28"/>
      <c r="W79" s="25"/>
      <c r="X79" s="30"/>
      <c r="Y79" s="25"/>
      <c r="Z79" s="25"/>
      <c r="AA79" s="4"/>
      <c r="AB79" s="4"/>
      <c r="AC79" s="4"/>
      <c r="AD79" s="138"/>
    </row>
    <row r="80" spans="1:26" ht="19.5" customHeight="1">
      <c r="A80" s="26">
        <f>A79+1</f>
        <v>51</v>
      </c>
      <c r="B80" s="59" t="s">
        <v>27</v>
      </c>
      <c r="C80" s="60"/>
      <c r="D80" s="194"/>
      <c r="E80" s="58">
        <v>1</v>
      </c>
      <c r="F80" s="62">
        <v>3200</v>
      </c>
      <c r="G80" s="61">
        <v>13</v>
      </c>
      <c r="H80" s="62">
        <v>55</v>
      </c>
      <c r="I80" s="61"/>
      <c r="J80" s="61"/>
      <c r="K80" s="63">
        <v>0.25</v>
      </c>
      <c r="L80" s="62">
        <f t="shared" si="1"/>
        <v>813.75</v>
      </c>
      <c r="M80" s="62">
        <f t="shared" si="2"/>
        <v>2034.375</v>
      </c>
      <c r="N80" s="62"/>
      <c r="O80" s="61"/>
      <c r="P80" s="61"/>
      <c r="Q80" s="62"/>
      <c r="R80" s="62"/>
      <c r="S80" s="62"/>
      <c r="T80" s="62">
        <f t="shared" si="12"/>
        <v>6103.125</v>
      </c>
      <c r="U80" s="62">
        <f t="shared" si="3"/>
        <v>73237.5</v>
      </c>
      <c r="V80" s="28">
        <v>0.5</v>
      </c>
      <c r="W80" s="25">
        <f>T80*V80</f>
        <v>3051.5625</v>
      </c>
      <c r="X80" s="30">
        <f t="shared" si="7"/>
        <v>9154.6875</v>
      </c>
      <c r="Y80" s="25">
        <v>0.795</v>
      </c>
      <c r="Z80" s="25">
        <f>X80*Y80</f>
        <v>7277.9765625</v>
      </c>
    </row>
    <row r="81" spans="1:26" ht="18" customHeight="1">
      <c r="A81" s="26">
        <f aca="true" t="shared" si="13" ref="A81:A92">A80+1</f>
        <v>52</v>
      </c>
      <c r="B81" s="59" t="s">
        <v>27</v>
      </c>
      <c r="C81" s="60"/>
      <c r="D81" s="194"/>
      <c r="E81" s="58">
        <v>1</v>
      </c>
      <c r="F81" s="62">
        <v>3200</v>
      </c>
      <c r="G81" s="61">
        <v>13</v>
      </c>
      <c r="H81" s="62">
        <v>55</v>
      </c>
      <c r="I81" s="61"/>
      <c r="J81" s="61"/>
      <c r="K81" s="63">
        <v>0.2</v>
      </c>
      <c r="L81" s="62">
        <f t="shared" si="1"/>
        <v>651</v>
      </c>
      <c r="M81" s="62">
        <f t="shared" si="2"/>
        <v>1953</v>
      </c>
      <c r="N81" s="62"/>
      <c r="O81" s="61"/>
      <c r="P81" s="62"/>
      <c r="Q81" s="62"/>
      <c r="R81" s="62"/>
      <c r="S81" s="62"/>
      <c r="T81" s="62">
        <f t="shared" si="12"/>
        <v>5859</v>
      </c>
      <c r="U81" s="62">
        <f t="shared" si="3"/>
        <v>70308</v>
      </c>
      <c r="V81" s="28">
        <v>0.5</v>
      </c>
      <c r="W81" s="25">
        <f>T81*V81</f>
        <v>2929.5</v>
      </c>
      <c r="X81" s="30">
        <f t="shared" si="7"/>
        <v>8788.5</v>
      </c>
      <c r="Y81" s="25">
        <v>0.795</v>
      </c>
      <c r="Z81" s="25">
        <f>X81*Y81</f>
        <v>6986.8575</v>
      </c>
    </row>
    <row r="82" spans="1:26" ht="18" customHeight="1">
      <c r="A82" s="26">
        <f t="shared" si="13"/>
        <v>53</v>
      </c>
      <c r="B82" s="59" t="s">
        <v>27</v>
      </c>
      <c r="C82" s="60"/>
      <c r="D82" s="194"/>
      <c r="E82" s="87">
        <v>1</v>
      </c>
      <c r="F82" s="62">
        <v>3200</v>
      </c>
      <c r="G82" s="89">
        <v>13</v>
      </c>
      <c r="H82" s="88">
        <v>55</v>
      </c>
      <c r="I82" s="89"/>
      <c r="J82" s="89"/>
      <c r="K82" s="181">
        <v>0.2</v>
      </c>
      <c r="L82" s="62">
        <f t="shared" si="1"/>
        <v>651</v>
      </c>
      <c r="M82" s="62">
        <f t="shared" si="2"/>
        <v>1953</v>
      </c>
      <c r="N82" s="62"/>
      <c r="O82" s="89"/>
      <c r="P82" s="88"/>
      <c r="Q82" s="62"/>
      <c r="R82" s="88"/>
      <c r="S82" s="88"/>
      <c r="T82" s="62">
        <f t="shared" si="12"/>
        <v>5859</v>
      </c>
      <c r="U82" s="62">
        <f t="shared" si="3"/>
        <v>70308</v>
      </c>
      <c r="V82" s="28">
        <v>0.5</v>
      </c>
      <c r="W82" s="25">
        <f>T82*V82</f>
        <v>2929.5</v>
      </c>
      <c r="X82" s="30">
        <f t="shared" si="7"/>
        <v>8788.5</v>
      </c>
      <c r="Y82" s="25">
        <v>0.795</v>
      </c>
      <c r="Z82" s="25">
        <f>X82*Y82</f>
        <v>6986.8575</v>
      </c>
    </row>
    <row r="83" spans="1:26" ht="18" customHeight="1">
      <c r="A83" s="26">
        <f t="shared" si="13"/>
        <v>54</v>
      </c>
      <c r="B83" s="59" t="s">
        <v>242</v>
      </c>
      <c r="C83" s="60" t="s">
        <v>90</v>
      </c>
      <c r="D83" s="194">
        <v>7.06</v>
      </c>
      <c r="E83" s="87">
        <v>1</v>
      </c>
      <c r="F83" s="62">
        <v>3200</v>
      </c>
      <c r="G83" s="89">
        <v>15</v>
      </c>
      <c r="H83" s="88">
        <v>45</v>
      </c>
      <c r="I83" s="63">
        <v>0.25</v>
      </c>
      <c r="J83" s="61">
        <f>F83*0.25</f>
        <v>800</v>
      </c>
      <c r="K83" s="181"/>
      <c r="L83" s="62">
        <f>(F83+H83+J83)*K83</f>
        <v>0</v>
      </c>
      <c r="M83" s="62">
        <f>(F83+H83+L83+J83)*50%</f>
        <v>2022.5</v>
      </c>
      <c r="N83" s="62"/>
      <c r="O83" s="89"/>
      <c r="P83" s="89"/>
      <c r="Q83" s="62"/>
      <c r="R83" s="89"/>
      <c r="S83" s="88"/>
      <c r="T83" s="62">
        <f t="shared" si="12"/>
        <v>6067.5</v>
      </c>
      <c r="U83" s="62">
        <f aca="true" t="shared" si="14" ref="U83:U92">T83*12</f>
        <v>72810</v>
      </c>
      <c r="V83" s="28"/>
      <c r="W83" s="25"/>
      <c r="X83" s="30"/>
      <c r="Y83" s="25"/>
      <c r="Z83" s="25"/>
    </row>
    <row r="84" spans="1:29" ht="18" customHeight="1">
      <c r="A84" s="26">
        <f>A83+1</f>
        <v>55</v>
      </c>
      <c r="B84" s="59" t="s">
        <v>242</v>
      </c>
      <c r="C84" s="60" t="s">
        <v>90</v>
      </c>
      <c r="D84" s="194" t="s">
        <v>271</v>
      </c>
      <c r="E84" s="58">
        <v>1</v>
      </c>
      <c r="F84" s="62">
        <v>3200</v>
      </c>
      <c r="G84" s="89">
        <v>15</v>
      </c>
      <c r="H84" s="88">
        <v>45</v>
      </c>
      <c r="I84" s="63">
        <v>0.25</v>
      </c>
      <c r="J84" s="61">
        <f>F84*0.25</f>
        <v>800</v>
      </c>
      <c r="K84" s="181"/>
      <c r="L84" s="62">
        <f>(F84+H84+J84)*K84</f>
        <v>0</v>
      </c>
      <c r="M84" s="62">
        <f>(F84+H84+L84+J84)*50%</f>
        <v>2022.5</v>
      </c>
      <c r="N84" s="62"/>
      <c r="O84" s="89"/>
      <c r="P84" s="89"/>
      <c r="Q84" s="62"/>
      <c r="R84" s="89"/>
      <c r="S84" s="88"/>
      <c r="T84" s="62">
        <f t="shared" si="12"/>
        <v>6067.5</v>
      </c>
      <c r="U84" s="62">
        <f t="shared" si="14"/>
        <v>72810</v>
      </c>
      <c r="V84" s="28"/>
      <c r="W84" s="32"/>
      <c r="X84" s="173"/>
      <c r="Y84" s="32"/>
      <c r="Z84" s="32"/>
      <c r="AA84" s="3"/>
      <c r="AB84" s="3"/>
      <c r="AC84" s="3"/>
    </row>
    <row r="85" spans="1:30" s="105" customFormat="1" ht="18" customHeight="1">
      <c r="A85" s="26">
        <f t="shared" si="13"/>
        <v>56</v>
      </c>
      <c r="B85" s="59" t="s">
        <v>243</v>
      </c>
      <c r="C85" s="187" t="s">
        <v>82</v>
      </c>
      <c r="D85" s="194" t="s">
        <v>212</v>
      </c>
      <c r="E85" s="87">
        <v>1</v>
      </c>
      <c r="F85" s="62">
        <v>3200</v>
      </c>
      <c r="G85" s="89">
        <v>15</v>
      </c>
      <c r="H85" s="88">
        <v>45</v>
      </c>
      <c r="I85" s="89"/>
      <c r="J85" s="89"/>
      <c r="K85" s="181"/>
      <c r="L85" s="62">
        <f aca="true" t="shared" si="15" ref="L85:L91">(F85+H85)*K85</f>
        <v>0</v>
      </c>
      <c r="M85" s="62">
        <f aca="true" t="shared" si="16" ref="M85:M92">(F85+H85+L85)*50%</f>
        <v>1622.5</v>
      </c>
      <c r="N85" s="62"/>
      <c r="O85" s="89"/>
      <c r="P85" s="89"/>
      <c r="Q85" s="62"/>
      <c r="R85" s="89"/>
      <c r="S85" s="88"/>
      <c r="T85" s="62">
        <f t="shared" si="12"/>
        <v>4867.5</v>
      </c>
      <c r="U85" s="62">
        <f t="shared" si="14"/>
        <v>58410</v>
      </c>
      <c r="V85" s="28"/>
      <c r="W85" s="32"/>
      <c r="X85" s="173"/>
      <c r="Y85" s="32"/>
      <c r="Z85" s="32"/>
      <c r="AA85" s="3"/>
      <c r="AB85" s="3"/>
      <c r="AC85" s="3"/>
      <c r="AD85" s="138"/>
    </row>
    <row r="86" spans="1:30" s="105" customFormat="1" ht="18" customHeight="1">
      <c r="A86" s="26">
        <f t="shared" si="13"/>
        <v>57</v>
      </c>
      <c r="B86" s="59" t="s">
        <v>244</v>
      </c>
      <c r="C86" s="187" t="s">
        <v>83</v>
      </c>
      <c r="D86" s="216">
        <v>42828</v>
      </c>
      <c r="E86" s="87">
        <v>1</v>
      </c>
      <c r="F86" s="62">
        <v>3200</v>
      </c>
      <c r="G86" s="89">
        <v>15</v>
      </c>
      <c r="H86" s="88">
        <v>45</v>
      </c>
      <c r="I86" s="89"/>
      <c r="J86" s="89"/>
      <c r="K86" s="181">
        <v>0.1</v>
      </c>
      <c r="L86" s="62">
        <f t="shared" si="15"/>
        <v>324.5</v>
      </c>
      <c r="M86" s="62">
        <f t="shared" si="16"/>
        <v>1784.75</v>
      </c>
      <c r="N86" s="62"/>
      <c r="O86" s="89"/>
      <c r="P86" s="89"/>
      <c r="Q86" s="62"/>
      <c r="R86" s="89"/>
      <c r="S86" s="88"/>
      <c r="T86" s="62">
        <f t="shared" si="12"/>
        <v>5354.25</v>
      </c>
      <c r="U86" s="62">
        <f t="shared" si="14"/>
        <v>64251</v>
      </c>
      <c r="V86" s="28"/>
      <c r="W86" s="25"/>
      <c r="X86" s="30"/>
      <c r="Y86" s="25"/>
      <c r="Z86" s="25"/>
      <c r="AA86" s="4"/>
      <c r="AB86" s="4"/>
      <c r="AC86" s="4"/>
      <c r="AD86" s="138"/>
    </row>
    <row r="87" spans="1:29" s="138" customFormat="1" ht="18" customHeight="1">
      <c r="A87" s="26">
        <f t="shared" si="13"/>
        <v>58</v>
      </c>
      <c r="B87" s="59" t="s">
        <v>245</v>
      </c>
      <c r="C87" s="60" t="s">
        <v>79</v>
      </c>
      <c r="D87" s="216">
        <v>42849</v>
      </c>
      <c r="E87" s="87">
        <v>1</v>
      </c>
      <c r="F87" s="62">
        <v>3200</v>
      </c>
      <c r="G87" s="89">
        <v>15</v>
      </c>
      <c r="H87" s="88">
        <v>45</v>
      </c>
      <c r="I87" s="89"/>
      <c r="J87" s="89"/>
      <c r="K87" s="181"/>
      <c r="L87" s="62">
        <f t="shared" si="15"/>
        <v>0</v>
      </c>
      <c r="M87" s="62">
        <f t="shared" si="16"/>
        <v>1622.5</v>
      </c>
      <c r="N87" s="62"/>
      <c r="O87" s="89"/>
      <c r="P87" s="89"/>
      <c r="Q87" s="62"/>
      <c r="R87" s="89"/>
      <c r="S87" s="88"/>
      <c r="T87" s="62">
        <f t="shared" si="12"/>
        <v>4867.5</v>
      </c>
      <c r="U87" s="62">
        <f t="shared" si="14"/>
        <v>58410</v>
      </c>
      <c r="V87" s="28"/>
      <c r="W87" s="25"/>
      <c r="X87" s="30"/>
      <c r="Y87" s="25"/>
      <c r="Z87" s="25"/>
      <c r="AA87" s="4"/>
      <c r="AB87" s="4"/>
      <c r="AC87" s="4"/>
    </row>
    <row r="88" spans="1:30" s="105" customFormat="1" ht="18" customHeight="1">
      <c r="A88" s="26">
        <f t="shared" si="13"/>
        <v>59</v>
      </c>
      <c r="B88" s="59" t="s">
        <v>246</v>
      </c>
      <c r="C88" s="187" t="s">
        <v>80</v>
      </c>
      <c r="D88" s="194">
        <v>24.04</v>
      </c>
      <c r="E88" s="87">
        <v>1</v>
      </c>
      <c r="F88" s="62">
        <v>3200</v>
      </c>
      <c r="G88" s="89">
        <v>15</v>
      </c>
      <c r="H88" s="88">
        <v>45</v>
      </c>
      <c r="I88" s="89"/>
      <c r="J88" s="89"/>
      <c r="K88" s="181"/>
      <c r="L88" s="62">
        <f t="shared" si="15"/>
        <v>0</v>
      </c>
      <c r="M88" s="62">
        <f t="shared" si="16"/>
        <v>1622.5</v>
      </c>
      <c r="N88" s="62"/>
      <c r="O88" s="89"/>
      <c r="P88" s="89"/>
      <c r="Q88" s="62"/>
      <c r="R88" s="89"/>
      <c r="S88" s="88"/>
      <c r="T88" s="62">
        <f t="shared" si="12"/>
        <v>4867.5</v>
      </c>
      <c r="U88" s="62">
        <f t="shared" si="14"/>
        <v>58410</v>
      </c>
      <c r="V88" s="28">
        <v>0.5</v>
      </c>
      <c r="W88" s="25">
        <f>T88*V88</f>
        <v>2433.75</v>
      </c>
      <c r="X88" s="30">
        <f>T88+W88</f>
        <v>7301.25</v>
      </c>
      <c r="Y88" s="25">
        <v>0.795</v>
      </c>
      <c r="Z88" s="25">
        <f>X88*Y88</f>
        <v>5804.493750000001</v>
      </c>
      <c r="AA88" s="4"/>
      <c r="AB88" s="4"/>
      <c r="AC88" s="4"/>
      <c r="AD88" s="138"/>
    </row>
    <row r="89" spans="1:30" s="105" customFormat="1" ht="18" customHeight="1">
      <c r="A89" s="26">
        <f t="shared" si="13"/>
        <v>60</v>
      </c>
      <c r="B89" s="59" t="s">
        <v>247</v>
      </c>
      <c r="C89" s="187" t="s">
        <v>78</v>
      </c>
      <c r="D89" s="216" t="s">
        <v>272</v>
      </c>
      <c r="E89" s="87">
        <v>1</v>
      </c>
      <c r="F89" s="62">
        <v>3200</v>
      </c>
      <c r="G89" s="89">
        <v>15</v>
      </c>
      <c r="H89" s="88">
        <v>45</v>
      </c>
      <c r="I89" s="89"/>
      <c r="J89" s="89"/>
      <c r="K89" s="181"/>
      <c r="L89" s="62">
        <f t="shared" si="15"/>
        <v>0</v>
      </c>
      <c r="M89" s="62">
        <f t="shared" si="16"/>
        <v>1622.5</v>
      </c>
      <c r="N89" s="62"/>
      <c r="O89" s="89"/>
      <c r="P89" s="89"/>
      <c r="Q89" s="62"/>
      <c r="R89" s="89"/>
      <c r="S89" s="88"/>
      <c r="T89" s="62">
        <f t="shared" si="12"/>
        <v>4867.5</v>
      </c>
      <c r="U89" s="62">
        <f t="shared" si="14"/>
        <v>58410</v>
      </c>
      <c r="V89" s="28"/>
      <c r="W89" s="25"/>
      <c r="X89" s="30"/>
      <c r="Y89" s="25"/>
      <c r="Z89" s="25"/>
      <c r="AA89" s="4"/>
      <c r="AB89" s="4"/>
      <c r="AC89" s="4"/>
      <c r="AD89" s="138"/>
    </row>
    <row r="90" spans="1:29" s="138" customFormat="1" ht="18" customHeight="1">
      <c r="A90" s="26">
        <f t="shared" si="13"/>
        <v>61</v>
      </c>
      <c r="B90" s="59" t="s">
        <v>248</v>
      </c>
      <c r="C90" s="60" t="s">
        <v>87</v>
      </c>
      <c r="D90" s="194" t="s">
        <v>270</v>
      </c>
      <c r="E90" s="87">
        <v>1</v>
      </c>
      <c r="F90" s="62">
        <v>3200</v>
      </c>
      <c r="G90" s="89">
        <v>15</v>
      </c>
      <c r="H90" s="88">
        <v>45</v>
      </c>
      <c r="I90" s="89"/>
      <c r="J90" s="89"/>
      <c r="K90" s="181"/>
      <c r="L90" s="62">
        <f t="shared" si="15"/>
        <v>0</v>
      </c>
      <c r="M90" s="62">
        <f t="shared" si="16"/>
        <v>1622.5</v>
      </c>
      <c r="N90" s="62"/>
      <c r="O90" s="89"/>
      <c r="P90" s="89"/>
      <c r="Q90" s="62"/>
      <c r="R90" s="89"/>
      <c r="S90" s="88"/>
      <c r="T90" s="62">
        <f t="shared" si="12"/>
        <v>4867.5</v>
      </c>
      <c r="U90" s="62">
        <f t="shared" si="14"/>
        <v>58410</v>
      </c>
      <c r="V90" s="28"/>
      <c r="W90" s="25"/>
      <c r="X90" s="30"/>
      <c r="Y90" s="25"/>
      <c r="Z90" s="25"/>
      <c r="AA90" s="4"/>
      <c r="AB90" s="4"/>
      <c r="AC90" s="4"/>
    </row>
    <row r="91" spans="1:31" s="105" customFormat="1" ht="18" customHeight="1">
      <c r="A91" s="26">
        <f t="shared" si="13"/>
        <v>62</v>
      </c>
      <c r="B91" s="59" t="s">
        <v>249</v>
      </c>
      <c r="C91" s="68" t="s">
        <v>211</v>
      </c>
      <c r="D91" s="193"/>
      <c r="E91" s="58">
        <v>1</v>
      </c>
      <c r="F91" s="62">
        <v>3200</v>
      </c>
      <c r="G91" s="61">
        <v>15</v>
      </c>
      <c r="H91" s="62">
        <v>45</v>
      </c>
      <c r="I91" s="61"/>
      <c r="J91" s="61"/>
      <c r="K91" s="63">
        <v>0.25</v>
      </c>
      <c r="L91" s="62">
        <f t="shared" si="15"/>
        <v>811.25</v>
      </c>
      <c r="M91" s="62">
        <f t="shared" si="16"/>
        <v>2028.125</v>
      </c>
      <c r="N91" s="62"/>
      <c r="O91" s="61"/>
      <c r="P91" s="61"/>
      <c r="Q91" s="62"/>
      <c r="R91" s="61"/>
      <c r="S91" s="62"/>
      <c r="T91" s="62">
        <f t="shared" si="12"/>
        <v>6084.375</v>
      </c>
      <c r="U91" s="62">
        <f t="shared" si="14"/>
        <v>73012.5</v>
      </c>
      <c r="V91" s="28"/>
      <c r="W91" s="32"/>
      <c r="X91" s="173"/>
      <c r="Y91" s="32"/>
      <c r="Z91" s="32"/>
      <c r="AA91" s="3"/>
      <c r="AB91" s="3"/>
      <c r="AC91" s="3"/>
      <c r="AD91" s="203"/>
      <c r="AE91" s="200"/>
    </row>
    <row r="92" spans="1:31" s="138" customFormat="1" ht="18" customHeight="1">
      <c r="A92" s="26">
        <f t="shared" si="13"/>
        <v>63</v>
      </c>
      <c r="B92" s="59" t="s">
        <v>250</v>
      </c>
      <c r="C92" s="66" t="s">
        <v>81</v>
      </c>
      <c r="D92" s="194" t="s">
        <v>209</v>
      </c>
      <c r="E92" s="58">
        <v>1</v>
      </c>
      <c r="F92" s="62">
        <v>3200</v>
      </c>
      <c r="G92" s="61">
        <v>15</v>
      </c>
      <c r="H92" s="62">
        <v>45</v>
      </c>
      <c r="I92" s="61"/>
      <c r="J92" s="61"/>
      <c r="K92" s="181"/>
      <c r="L92" s="62">
        <f>(F92+H92)*K92</f>
        <v>0</v>
      </c>
      <c r="M92" s="62">
        <f t="shared" si="16"/>
        <v>1622.5</v>
      </c>
      <c r="N92" s="62"/>
      <c r="O92" s="61"/>
      <c r="P92" s="61"/>
      <c r="Q92" s="62"/>
      <c r="R92" s="61"/>
      <c r="S92" s="62"/>
      <c r="T92" s="62">
        <f t="shared" si="12"/>
        <v>4867.5</v>
      </c>
      <c r="U92" s="62">
        <f t="shared" si="14"/>
        <v>58410</v>
      </c>
      <c r="V92" s="28"/>
      <c r="W92" s="32"/>
      <c r="X92" s="173"/>
      <c r="Y92" s="32"/>
      <c r="Z92" s="32"/>
      <c r="AA92" s="3"/>
      <c r="AB92" s="3"/>
      <c r="AC92" s="3"/>
      <c r="AD92" s="203"/>
      <c r="AE92" s="203"/>
    </row>
    <row r="93" spans="1:26" ht="30.75" customHeight="1">
      <c r="A93" s="33"/>
      <c r="B93" s="186" t="s">
        <v>44</v>
      </c>
      <c r="C93" s="187"/>
      <c r="D93" s="213"/>
      <c r="E93" s="87"/>
      <c r="F93" s="88"/>
      <c r="G93" s="89"/>
      <c r="H93" s="88"/>
      <c r="I93" s="89"/>
      <c r="J93" s="89"/>
      <c r="K93" s="181"/>
      <c r="L93" s="62"/>
      <c r="M93" s="62"/>
      <c r="N93" s="62"/>
      <c r="O93" s="89"/>
      <c r="P93" s="89"/>
      <c r="Q93" s="62"/>
      <c r="R93" s="89"/>
      <c r="S93" s="89"/>
      <c r="T93" s="62"/>
      <c r="U93" s="62"/>
      <c r="V93" s="28"/>
      <c r="W93" s="25"/>
      <c r="X93" s="30"/>
      <c r="Y93" s="25"/>
      <c r="Z93" s="25"/>
    </row>
    <row r="94" spans="1:26" ht="17.25" customHeight="1">
      <c r="A94" s="26">
        <v>67</v>
      </c>
      <c r="B94" s="59" t="s">
        <v>13</v>
      </c>
      <c r="C94" s="60"/>
      <c r="D94" s="194"/>
      <c r="E94" s="87">
        <v>1</v>
      </c>
      <c r="F94" s="88">
        <v>3400</v>
      </c>
      <c r="G94" s="61">
        <v>12</v>
      </c>
      <c r="H94" s="62">
        <v>60</v>
      </c>
      <c r="I94" s="89"/>
      <c r="J94" s="89"/>
      <c r="K94" s="181">
        <v>0.1</v>
      </c>
      <c r="L94" s="62">
        <f aca="true" t="shared" si="17" ref="L94:L127">(F94+H94)*K94</f>
        <v>346</v>
      </c>
      <c r="M94" s="62">
        <f aca="true" t="shared" si="18" ref="M94:M99">(F94+H94+L94)*50%</f>
        <v>1903</v>
      </c>
      <c r="N94" s="62"/>
      <c r="O94" s="89"/>
      <c r="P94" s="89"/>
      <c r="Q94" s="62"/>
      <c r="R94" s="89"/>
      <c r="S94" s="89"/>
      <c r="T94" s="62">
        <f t="shared" si="12"/>
        <v>5709</v>
      </c>
      <c r="U94" s="62">
        <f aca="true" t="shared" si="19" ref="U94:U99">T94*12</f>
        <v>68508</v>
      </c>
      <c r="V94" s="28">
        <v>0.8</v>
      </c>
      <c r="W94" s="25">
        <f>T94*V94</f>
        <v>4567.2</v>
      </c>
      <c r="X94" s="30">
        <f>T94+W94</f>
        <v>10276.2</v>
      </c>
      <c r="Y94" s="25">
        <v>0.795</v>
      </c>
      <c r="Z94" s="25">
        <f>X94*Y94</f>
        <v>8169.579000000001</v>
      </c>
    </row>
    <row r="95" spans="1:30" s="200" customFormat="1" ht="19.5" customHeight="1">
      <c r="A95" s="26">
        <f>A94+1</f>
        <v>68</v>
      </c>
      <c r="B95" s="59" t="s">
        <v>223</v>
      </c>
      <c r="C95" s="186"/>
      <c r="D95" s="216" t="s">
        <v>210</v>
      </c>
      <c r="E95" s="58">
        <v>1</v>
      </c>
      <c r="F95" s="62">
        <v>3350</v>
      </c>
      <c r="G95" s="61">
        <v>11</v>
      </c>
      <c r="H95" s="62">
        <v>70</v>
      </c>
      <c r="I95" s="61"/>
      <c r="J95" s="61"/>
      <c r="K95" s="63">
        <v>0.25</v>
      </c>
      <c r="L95" s="62">
        <f>(F95+H95)*K95</f>
        <v>855</v>
      </c>
      <c r="M95" s="62">
        <f t="shared" si="18"/>
        <v>2137.5</v>
      </c>
      <c r="N95" s="62"/>
      <c r="O95" s="61"/>
      <c r="P95" s="61"/>
      <c r="Q95" s="62"/>
      <c r="R95" s="61"/>
      <c r="S95" s="61"/>
      <c r="T95" s="62">
        <f t="shared" si="12"/>
        <v>6412.5</v>
      </c>
      <c r="U95" s="62">
        <f t="shared" si="19"/>
        <v>76950</v>
      </c>
      <c r="V95" s="28"/>
      <c r="W95" s="32"/>
      <c r="X95" s="173"/>
      <c r="Y95" s="32"/>
      <c r="Z95" s="32"/>
      <c r="AA95" s="3"/>
      <c r="AB95" s="3"/>
      <c r="AC95" s="3"/>
      <c r="AD95" s="203"/>
    </row>
    <row r="96" spans="1:26" ht="16.5" customHeight="1">
      <c r="A96" s="26">
        <f>A95+1</f>
        <v>69</v>
      </c>
      <c r="B96" s="59" t="s">
        <v>14</v>
      </c>
      <c r="C96" s="60"/>
      <c r="D96" s="194">
        <v>27.04</v>
      </c>
      <c r="E96" s="87">
        <v>1</v>
      </c>
      <c r="F96" s="62">
        <v>3200</v>
      </c>
      <c r="G96" s="61">
        <v>12</v>
      </c>
      <c r="H96" s="62">
        <v>60</v>
      </c>
      <c r="I96" s="61"/>
      <c r="J96" s="61"/>
      <c r="K96" s="63">
        <v>0.2</v>
      </c>
      <c r="L96" s="62">
        <f t="shared" si="17"/>
        <v>652</v>
      </c>
      <c r="M96" s="62">
        <f t="shared" si="18"/>
        <v>1956</v>
      </c>
      <c r="N96" s="62"/>
      <c r="O96" s="89"/>
      <c r="P96" s="89"/>
      <c r="Q96" s="62"/>
      <c r="R96" s="89"/>
      <c r="S96" s="89"/>
      <c r="T96" s="62">
        <f t="shared" si="12"/>
        <v>5868</v>
      </c>
      <c r="U96" s="62">
        <f t="shared" si="19"/>
        <v>70416</v>
      </c>
      <c r="V96" s="28"/>
      <c r="W96" s="25"/>
      <c r="X96" s="30"/>
      <c r="Y96" s="25"/>
      <c r="Z96" s="25"/>
    </row>
    <row r="97" spans="1:30" s="105" customFormat="1" ht="16.5" customHeight="1">
      <c r="A97" s="26">
        <f>A96+1</f>
        <v>70</v>
      </c>
      <c r="B97" s="59" t="s">
        <v>14</v>
      </c>
      <c r="C97" s="187"/>
      <c r="D97" s="194">
        <v>23.03</v>
      </c>
      <c r="E97" s="87">
        <v>1</v>
      </c>
      <c r="F97" s="88">
        <v>3200</v>
      </c>
      <c r="G97" s="89">
        <v>13</v>
      </c>
      <c r="H97" s="88">
        <v>55</v>
      </c>
      <c r="I97" s="89"/>
      <c r="J97" s="89"/>
      <c r="K97" s="181"/>
      <c r="L97" s="62">
        <f t="shared" si="17"/>
        <v>0</v>
      </c>
      <c r="M97" s="62">
        <f t="shared" si="18"/>
        <v>1627.5</v>
      </c>
      <c r="N97" s="62"/>
      <c r="O97" s="89"/>
      <c r="P97" s="89"/>
      <c r="Q97" s="62"/>
      <c r="R97" s="89"/>
      <c r="S97" s="89"/>
      <c r="T97" s="62">
        <f t="shared" si="12"/>
        <v>4882.5</v>
      </c>
      <c r="U97" s="62">
        <f t="shared" si="19"/>
        <v>58590</v>
      </c>
      <c r="V97" s="28"/>
      <c r="W97" s="25"/>
      <c r="X97" s="30"/>
      <c r="Y97" s="25"/>
      <c r="Z97" s="25"/>
      <c r="AA97" s="4"/>
      <c r="AB97" s="4"/>
      <c r="AC97" s="4"/>
      <c r="AD97" s="138"/>
    </row>
    <row r="98" spans="1:30" s="105" customFormat="1" ht="19.5" customHeight="1">
      <c r="A98" s="26">
        <f>A97+1</f>
        <v>71</v>
      </c>
      <c r="B98" s="59" t="s">
        <v>14</v>
      </c>
      <c r="C98" s="187"/>
      <c r="D98" s="194">
        <v>14.03</v>
      </c>
      <c r="E98" s="87">
        <v>1</v>
      </c>
      <c r="F98" s="88">
        <v>3200</v>
      </c>
      <c r="G98" s="89">
        <v>14</v>
      </c>
      <c r="H98" s="88">
        <v>50</v>
      </c>
      <c r="I98" s="89"/>
      <c r="J98" s="89"/>
      <c r="K98" s="181">
        <v>0.2</v>
      </c>
      <c r="L98" s="62">
        <f t="shared" si="17"/>
        <v>650</v>
      </c>
      <c r="M98" s="62">
        <f t="shared" si="18"/>
        <v>1950</v>
      </c>
      <c r="N98" s="62"/>
      <c r="O98" s="89"/>
      <c r="P98" s="89"/>
      <c r="Q98" s="62"/>
      <c r="R98" s="89"/>
      <c r="S98" s="89"/>
      <c r="T98" s="62">
        <f t="shared" si="12"/>
        <v>5850</v>
      </c>
      <c r="U98" s="62">
        <f t="shared" si="19"/>
        <v>70200</v>
      </c>
      <c r="V98" s="28"/>
      <c r="W98" s="25"/>
      <c r="X98" s="30"/>
      <c r="Y98" s="25"/>
      <c r="Z98" s="25"/>
      <c r="AA98" s="4"/>
      <c r="AB98" s="4"/>
      <c r="AC98" s="4"/>
      <c r="AD98" s="138"/>
    </row>
    <row r="99" spans="1:26" ht="19.5" customHeight="1">
      <c r="A99" s="26">
        <f>A98+1</f>
        <v>72</v>
      </c>
      <c r="B99" s="59" t="s">
        <v>14</v>
      </c>
      <c r="C99" s="60"/>
      <c r="D99" s="194">
        <v>27.04</v>
      </c>
      <c r="E99" s="87">
        <v>1</v>
      </c>
      <c r="F99" s="88">
        <v>3200</v>
      </c>
      <c r="G99" s="89">
        <v>13</v>
      </c>
      <c r="H99" s="88">
        <v>55</v>
      </c>
      <c r="I99" s="89"/>
      <c r="J99" s="89"/>
      <c r="K99" s="219">
        <v>0.15</v>
      </c>
      <c r="L99" s="62">
        <f>(F99+H99)*K99</f>
        <v>488.25</v>
      </c>
      <c r="M99" s="62">
        <f t="shared" si="18"/>
        <v>1871.625</v>
      </c>
      <c r="N99" s="62"/>
      <c r="O99" s="89"/>
      <c r="P99" s="89"/>
      <c r="Q99" s="62"/>
      <c r="R99" s="89"/>
      <c r="S99" s="89"/>
      <c r="T99" s="62">
        <f t="shared" si="12"/>
        <v>5614.875</v>
      </c>
      <c r="U99" s="62">
        <f t="shared" si="19"/>
        <v>67378.5</v>
      </c>
      <c r="V99" s="28"/>
      <c r="W99" s="25"/>
      <c r="X99" s="30"/>
      <c r="Y99" s="25"/>
      <c r="Z99" s="25"/>
    </row>
    <row r="100" spans="1:26" ht="50.25" customHeight="1">
      <c r="A100" s="33"/>
      <c r="B100" s="186" t="s">
        <v>269</v>
      </c>
      <c r="C100" s="187"/>
      <c r="D100" s="213"/>
      <c r="E100" s="87"/>
      <c r="F100" s="88"/>
      <c r="G100" s="89"/>
      <c r="H100" s="88"/>
      <c r="I100" s="89"/>
      <c r="J100" s="89"/>
      <c r="K100" s="181"/>
      <c r="L100" s="62"/>
      <c r="M100" s="62"/>
      <c r="N100" s="62"/>
      <c r="O100" s="89"/>
      <c r="P100" s="89"/>
      <c r="Q100" s="62"/>
      <c r="R100" s="89"/>
      <c r="S100" s="89"/>
      <c r="T100" s="62"/>
      <c r="U100" s="62"/>
      <c r="V100" s="28"/>
      <c r="W100" s="25"/>
      <c r="X100" s="30"/>
      <c r="Y100" s="25"/>
      <c r="Z100" s="25"/>
    </row>
    <row r="101" spans="1:26" ht="18" customHeight="1">
      <c r="A101" s="26">
        <v>73</v>
      </c>
      <c r="B101" s="59" t="s">
        <v>13</v>
      </c>
      <c r="C101" s="60"/>
      <c r="D101" s="194"/>
      <c r="E101" s="87">
        <v>1</v>
      </c>
      <c r="F101" s="88">
        <v>3400</v>
      </c>
      <c r="G101" s="89">
        <v>11</v>
      </c>
      <c r="H101" s="88">
        <v>70</v>
      </c>
      <c r="I101" s="89"/>
      <c r="J101" s="89"/>
      <c r="K101" s="181">
        <v>0.2</v>
      </c>
      <c r="L101" s="62">
        <f t="shared" si="17"/>
        <v>694</v>
      </c>
      <c r="M101" s="62">
        <f>(F101+H101+L101)*50%</f>
        <v>2082</v>
      </c>
      <c r="N101" s="62"/>
      <c r="O101" s="89"/>
      <c r="P101" s="89"/>
      <c r="Q101" s="62"/>
      <c r="R101" s="89"/>
      <c r="S101" s="89"/>
      <c r="T101" s="62">
        <f t="shared" si="12"/>
        <v>6246</v>
      </c>
      <c r="U101" s="62">
        <f>T101*12</f>
        <v>74952</v>
      </c>
      <c r="V101" s="28"/>
      <c r="W101" s="25"/>
      <c r="X101" s="30"/>
      <c r="Y101" s="25"/>
      <c r="Z101" s="25"/>
    </row>
    <row r="102" spans="1:30" s="105" customFormat="1" ht="17.25" customHeight="1">
      <c r="A102" s="26">
        <f>A101+1</f>
        <v>74</v>
      </c>
      <c r="B102" s="59" t="s">
        <v>27</v>
      </c>
      <c r="C102" s="187"/>
      <c r="D102" s="194" t="s">
        <v>218</v>
      </c>
      <c r="E102" s="87">
        <v>1</v>
      </c>
      <c r="F102" s="88">
        <v>3200</v>
      </c>
      <c r="G102" s="89">
        <v>9</v>
      </c>
      <c r="H102" s="88">
        <v>90</v>
      </c>
      <c r="I102" s="89"/>
      <c r="J102" s="89"/>
      <c r="K102" s="181">
        <v>0.2</v>
      </c>
      <c r="L102" s="62">
        <f t="shared" si="17"/>
        <v>658</v>
      </c>
      <c r="M102" s="62">
        <f>(F102+H102+L102)*50%</f>
        <v>1974</v>
      </c>
      <c r="N102" s="62"/>
      <c r="O102" s="89"/>
      <c r="P102" s="89"/>
      <c r="Q102" s="62"/>
      <c r="R102" s="182"/>
      <c r="S102" s="182"/>
      <c r="T102" s="62">
        <f t="shared" si="12"/>
        <v>5922</v>
      </c>
      <c r="U102" s="62">
        <f>T102*12</f>
        <v>71064</v>
      </c>
      <c r="V102" s="28"/>
      <c r="W102" s="25"/>
      <c r="X102" s="30"/>
      <c r="Y102" s="25"/>
      <c r="Z102" s="25"/>
      <c r="AA102" s="4"/>
      <c r="AB102" s="4"/>
      <c r="AC102" s="4"/>
      <c r="AD102" s="138"/>
    </row>
    <row r="103" spans="1:30" s="105" customFormat="1" ht="17.25" customHeight="1">
      <c r="A103" s="26">
        <f>A102+1</f>
        <v>75</v>
      </c>
      <c r="B103" s="59" t="s">
        <v>27</v>
      </c>
      <c r="C103" s="187"/>
      <c r="D103" s="194" t="s">
        <v>221</v>
      </c>
      <c r="E103" s="87">
        <v>1</v>
      </c>
      <c r="F103" s="88">
        <v>3200</v>
      </c>
      <c r="G103" s="89">
        <v>15</v>
      </c>
      <c r="H103" s="88">
        <v>45</v>
      </c>
      <c r="I103" s="89"/>
      <c r="J103" s="89"/>
      <c r="K103" s="181"/>
      <c r="L103" s="62">
        <f t="shared" si="17"/>
        <v>0</v>
      </c>
      <c r="M103" s="62">
        <f>(F103+H103+L103)*50%</f>
        <v>1622.5</v>
      </c>
      <c r="N103" s="62"/>
      <c r="O103" s="89"/>
      <c r="P103" s="89"/>
      <c r="Q103" s="62"/>
      <c r="R103" s="89"/>
      <c r="S103" s="89"/>
      <c r="T103" s="62">
        <f t="shared" si="12"/>
        <v>4867.5</v>
      </c>
      <c r="U103" s="62">
        <f>T103*12</f>
        <v>58410</v>
      </c>
      <c r="V103" s="28"/>
      <c r="W103" s="25"/>
      <c r="X103" s="30"/>
      <c r="Y103" s="25"/>
      <c r="Z103" s="25"/>
      <c r="AA103" s="4"/>
      <c r="AB103" s="4"/>
      <c r="AC103" s="4"/>
      <c r="AD103" s="138"/>
    </row>
    <row r="104" spans="1:26" ht="18" customHeight="1">
      <c r="A104" s="26">
        <f>A103+1</f>
        <v>76</v>
      </c>
      <c r="B104" s="59" t="s">
        <v>27</v>
      </c>
      <c r="C104" s="190"/>
      <c r="D104" s="196"/>
      <c r="E104" s="87">
        <v>1</v>
      </c>
      <c r="F104" s="88">
        <v>3200</v>
      </c>
      <c r="G104" s="89">
        <v>15</v>
      </c>
      <c r="H104" s="88">
        <v>45</v>
      </c>
      <c r="I104" s="89"/>
      <c r="J104" s="89"/>
      <c r="K104" s="181"/>
      <c r="L104" s="62">
        <f>(F104+H104)*K104</f>
        <v>0</v>
      </c>
      <c r="M104" s="62">
        <f>(F104+H104+L104)*50%</f>
        <v>1622.5</v>
      </c>
      <c r="N104" s="62"/>
      <c r="O104" s="89"/>
      <c r="P104" s="89"/>
      <c r="Q104" s="62"/>
      <c r="R104" s="89"/>
      <c r="S104" s="89"/>
      <c r="T104" s="62">
        <f>F104+H104+L104+M104+R104+S104+P104+J104+N104</f>
        <v>4867.5</v>
      </c>
      <c r="U104" s="62">
        <f>T104*12</f>
        <v>58410</v>
      </c>
      <c r="V104" s="28"/>
      <c r="W104" s="25"/>
      <c r="X104" s="30"/>
      <c r="Y104" s="25"/>
      <c r="Z104" s="25"/>
    </row>
    <row r="105" spans="1:26" ht="18" customHeight="1">
      <c r="A105" s="33"/>
      <c r="B105" s="186" t="s">
        <v>20</v>
      </c>
      <c r="C105" s="187"/>
      <c r="D105" s="194"/>
      <c r="E105" s="87"/>
      <c r="F105" s="88"/>
      <c r="G105" s="89"/>
      <c r="H105" s="88"/>
      <c r="I105" s="89"/>
      <c r="J105" s="89"/>
      <c r="K105" s="181"/>
      <c r="L105" s="62"/>
      <c r="M105" s="62"/>
      <c r="N105" s="62"/>
      <c r="O105" s="89"/>
      <c r="P105" s="89"/>
      <c r="Q105" s="62"/>
      <c r="R105" s="89"/>
      <c r="S105" s="89"/>
      <c r="T105" s="62"/>
      <c r="U105" s="62"/>
      <c r="V105" s="28"/>
      <c r="W105" s="25"/>
      <c r="X105" s="30"/>
      <c r="Y105" s="25"/>
      <c r="Z105" s="25"/>
    </row>
    <row r="106" spans="1:30" s="105" customFormat="1" ht="18" customHeight="1">
      <c r="A106" s="26">
        <v>77</v>
      </c>
      <c r="B106" s="188" t="s">
        <v>13</v>
      </c>
      <c r="C106" s="204"/>
      <c r="D106" s="195">
        <v>27.01</v>
      </c>
      <c r="E106" s="93">
        <v>1</v>
      </c>
      <c r="F106" s="183">
        <v>3400</v>
      </c>
      <c r="G106" s="178">
        <v>13</v>
      </c>
      <c r="H106" s="179">
        <v>55</v>
      </c>
      <c r="I106" s="178"/>
      <c r="J106" s="178"/>
      <c r="K106" s="180">
        <v>0.15</v>
      </c>
      <c r="L106" s="62">
        <f t="shared" si="17"/>
        <v>518.25</v>
      </c>
      <c r="M106" s="62">
        <f>(F106+H106+L106)*50%</f>
        <v>1986.625</v>
      </c>
      <c r="N106" s="62"/>
      <c r="O106" s="184"/>
      <c r="P106" s="184"/>
      <c r="Q106" s="62"/>
      <c r="R106" s="184"/>
      <c r="S106" s="184"/>
      <c r="T106" s="62">
        <f t="shared" si="12"/>
        <v>5959.875</v>
      </c>
      <c r="U106" s="62">
        <f aca="true" t="shared" si="20" ref="U106:U111">T106*12</f>
        <v>71518.5</v>
      </c>
      <c r="V106" s="28"/>
      <c r="W106" s="25"/>
      <c r="X106" s="30"/>
      <c r="Y106" s="25"/>
      <c r="Z106" s="25"/>
      <c r="AA106" s="4"/>
      <c r="AB106" s="4"/>
      <c r="AC106" s="4"/>
      <c r="AD106" s="138"/>
    </row>
    <row r="107" spans="1:26" ht="18" customHeight="1">
      <c r="A107" s="26">
        <f>A106+1</f>
        <v>78</v>
      </c>
      <c r="B107" s="59" t="s">
        <v>14</v>
      </c>
      <c r="C107" s="60"/>
      <c r="D107" s="194"/>
      <c r="E107" s="58">
        <v>1</v>
      </c>
      <c r="F107" s="62">
        <v>3200</v>
      </c>
      <c r="G107" s="61">
        <v>13</v>
      </c>
      <c r="H107" s="62">
        <v>55</v>
      </c>
      <c r="I107" s="61"/>
      <c r="J107" s="61"/>
      <c r="K107" s="63">
        <v>0.3</v>
      </c>
      <c r="L107" s="62">
        <f t="shared" si="17"/>
        <v>976.5</v>
      </c>
      <c r="M107" s="62">
        <f>(F107+H107+L107)*50%</f>
        <v>2115.75</v>
      </c>
      <c r="N107" s="62"/>
      <c r="O107" s="61"/>
      <c r="P107" s="61"/>
      <c r="Q107" s="62"/>
      <c r="R107" s="62"/>
      <c r="S107" s="62"/>
      <c r="T107" s="62">
        <f t="shared" si="12"/>
        <v>6347.25</v>
      </c>
      <c r="U107" s="62">
        <f t="shared" si="20"/>
        <v>76167</v>
      </c>
      <c r="V107" s="28">
        <v>0.5</v>
      </c>
      <c r="W107" s="25">
        <f>T107*V107</f>
        <v>3173.625</v>
      </c>
      <c r="X107" s="30">
        <f>T107+W107</f>
        <v>9520.875</v>
      </c>
      <c r="Y107" s="25">
        <v>0.795</v>
      </c>
      <c r="Z107" s="25">
        <f>X107*Y107</f>
        <v>7569.095625</v>
      </c>
    </row>
    <row r="108" spans="1:30" s="105" customFormat="1" ht="18" customHeight="1">
      <c r="A108" s="26">
        <f>A107+1</f>
        <v>79</v>
      </c>
      <c r="B108" s="59" t="s">
        <v>14</v>
      </c>
      <c r="C108" s="187"/>
      <c r="D108" s="194" t="s">
        <v>219</v>
      </c>
      <c r="E108" s="58">
        <v>1</v>
      </c>
      <c r="F108" s="62">
        <v>3200</v>
      </c>
      <c r="G108" s="61">
        <v>15</v>
      </c>
      <c r="H108" s="62">
        <v>45</v>
      </c>
      <c r="I108" s="61"/>
      <c r="J108" s="61"/>
      <c r="K108" s="63"/>
      <c r="L108" s="62">
        <f>(F108+H108)*K108</f>
        <v>0</v>
      </c>
      <c r="M108" s="62">
        <f>(F108+H108+L108)*50%</f>
        <v>1622.5</v>
      </c>
      <c r="N108" s="62"/>
      <c r="O108" s="61"/>
      <c r="P108" s="61"/>
      <c r="Q108" s="62"/>
      <c r="R108" s="62"/>
      <c r="S108" s="62"/>
      <c r="T108" s="62">
        <f t="shared" si="12"/>
        <v>4867.5</v>
      </c>
      <c r="U108" s="62">
        <f t="shared" si="20"/>
        <v>58410</v>
      </c>
      <c r="V108" s="28"/>
      <c r="W108" s="25"/>
      <c r="X108" s="30"/>
      <c r="Y108" s="25"/>
      <c r="Z108" s="25"/>
      <c r="AA108" s="4"/>
      <c r="AB108" s="4"/>
      <c r="AC108" s="4"/>
      <c r="AD108" s="138"/>
    </row>
    <row r="109" spans="1:26" ht="18" customHeight="1">
      <c r="A109" s="26"/>
      <c r="B109" s="186" t="s">
        <v>200</v>
      </c>
      <c r="C109" s="187"/>
      <c r="D109" s="194"/>
      <c r="E109" s="58"/>
      <c r="F109" s="62"/>
      <c r="G109" s="61"/>
      <c r="H109" s="62"/>
      <c r="I109" s="61"/>
      <c r="J109" s="61"/>
      <c r="K109" s="63"/>
      <c r="L109" s="62"/>
      <c r="M109" s="62"/>
      <c r="N109" s="62"/>
      <c r="O109" s="61"/>
      <c r="P109" s="61"/>
      <c r="Q109" s="62"/>
      <c r="R109" s="62"/>
      <c r="S109" s="62"/>
      <c r="T109" s="62">
        <f t="shared" si="12"/>
        <v>0</v>
      </c>
      <c r="U109" s="62">
        <f t="shared" si="20"/>
        <v>0</v>
      </c>
      <c r="V109" s="28"/>
      <c r="W109" s="25"/>
      <c r="X109" s="30"/>
      <c r="Y109" s="25"/>
      <c r="Z109" s="25"/>
    </row>
    <row r="110" spans="1:26" ht="18" customHeight="1">
      <c r="A110" s="26">
        <v>80</v>
      </c>
      <c r="B110" s="59" t="s">
        <v>13</v>
      </c>
      <c r="C110" s="60"/>
      <c r="D110" s="194"/>
      <c r="E110" s="58">
        <v>1</v>
      </c>
      <c r="F110" s="62">
        <v>3400</v>
      </c>
      <c r="G110" s="61">
        <v>11</v>
      </c>
      <c r="H110" s="62">
        <v>70</v>
      </c>
      <c r="I110" s="61"/>
      <c r="J110" s="61"/>
      <c r="K110" s="63">
        <v>0.2</v>
      </c>
      <c r="L110" s="62">
        <f t="shared" si="17"/>
        <v>694</v>
      </c>
      <c r="M110" s="62">
        <f>(F110+H110+L110)*50%</f>
        <v>2082</v>
      </c>
      <c r="N110" s="62"/>
      <c r="O110" s="61"/>
      <c r="P110" s="61"/>
      <c r="Q110" s="62"/>
      <c r="R110" s="62"/>
      <c r="S110" s="62"/>
      <c r="T110" s="62">
        <f t="shared" si="12"/>
        <v>6246</v>
      </c>
      <c r="U110" s="62">
        <f t="shared" si="20"/>
        <v>74952</v>
      </c>
      <c r="V110" s="28"/>
      <c r="W110" s="25"/>
      <c r="X110" s="30"/>
      <c r="Y110" s="25"/>
      <c r="Z110" s="25"/>
    </row>
    <row r="111" spans="1:26" ht="18" customHeight="1">
      <c r="A111" s="26">
        <f>A110+1</f>
        <v>81</v>
      </c>
      <c r="B111" s="59" t="s">
        <v>14</v>
      </c>
      <c r="C111" s="60"/>
      <c r="D111" s="194"/>
      <c r="E111" s="58">
        <v>1</v>
      </c>
      <c r="F111" s="62">
        <v>3200</v>
      </c>
      <c r="G111" s="61">
        <v>15</v>
      </c>
      <c r="H111" s="62">
        <v>45</v>
      </c>
      <c r="I111" s="61"/>
      <c r="J111" s="61"/>
      <c r="K111" s="63"/>
      <c r="L111" s="62"/>
      <c r="M111" s="62">
        <f>(F111+H111+L111)*50%</f>
        <v>1622.5</v>
      </c>
      <c r="N111" s="62"/>
      <c r="O111" s="61"/>
      <c r="P111" s="61"/>
      <c r="Q111" s="62"/>
      <c r="R111" s="62"/>
      <c r="S111" s="62"/>
      <c r="T111" s="62">
        <f t="shared" si="12"/>
        <v>4867.5</v>
      </c>
      <c r="U111" s="62">
        <f t="shared" si="20"/>
        <v>58410</v>
      </c>
      <c r="V111" s="28"/>
      <c r="W111" s="25"/>
      <c r="X111" s="30"/>
      <c r="Y111" s="25"/>
      <c r="Z111" s="25"/>
    </row>
    <row r="112" spans="1:26" ht="20.25" customHeight="1">
      <c r="A112" s="26"/>
      <c r="B112" s="186" t="s">
        <v>36</v>
      </c>
      <c r="C112" s="187"/>
      <c r="D112" s="194"/>
      <c r="E112" s="58"/>
      <c r="F112" s="62"/>
      <c r="G112" s="61"/>
      <c r="H112" s="62"/>
      <c r="I112" s="61"/>
      <c r="J112" s="61"/>
      <c r="K112" s="63"/>
      <c r="L112" s="62"/>
      <c r="M112" s="62"/>
      <c r="N112" s="62"/>
      <c r="O112" s="61"/>
      <c r="P112" s="61"/>
      <c r="Q112" s="62"/>
      <c r="R112" s="62"/>
      <c r="S112" s="62"/>
      <c r="T112" s="62"/>
      <c r="U112" s="62"/>
      <c r="V112" s="28"/>
      <c r="W112" s="25"/>
      <c r="X112" s="30"/>
      <c r="Y112" s="25"/>
      <c r="Z112" s="25"/>
    </row>
    <row r="113" spans="1:30" s="105" customFormat="1" ht="19.5" customHeight="1">
      <c r="A113" s="26">
        <v>82</v>
      </c>
      <c r="B113" s="59" t="s">
        <v>13</v>
      </c>
      <c r="C113" s="187"/>
      <c r="D113" s="194">
        <v>23.03</v>
      </c>
      <c r="E113" s="58">
        <v>1</v>
      </c>
      <c r="F113" s="62">
        <v>3400</v>
      </c>
      <c r="G113" s="61">
        <v>13</v>
      </c>
      <c r="H113" s="62">
        <v>55</v>
      </c>
      <c r="I113" s="61"/>
      <c r="J113" s="61"/>
      <c r="K113" s="63">
        <v>0.15</v>
      </c>
      <c r="L113" s="62">
        <f t="shared" si="17"/>
        <v>518.25</v>
      </c>
      <c r="M113" s="62">
        <f>(F113+H113+L113)*50%</f>
        <v>1986.625</v>
      </c>
      <c r="N113" s="62"/>
      <c r="O113" s="61"/>
      <c r="P113" s="61"/>
      <c r="Q113" s="62"/>
      <c r="R113" s="62"/>
      <c r="S113" s="62"/>
      <c r="T113" s="62">
        <f t="shared" si="12"/>
        <v>5959.875</v>
      </c>
      <c r="U113" s="62">
        <f>T113*12</f>
        <v>71518.5</v>
      </c>
      <c r="V113" s="28"/>
      <c r="W113" s="25"/>
      <c r="X113" s="30"/>
      <c r="Y113" s="25"/>
      <c r="Z113" s="25"/>
      <c r="AA113" s="4"/>
      <c r="AB113" s="4"/>
      <c r="AC113" s="4"/>
      <c r="AD113" s="138"/>
    </row>
    <row r="114" spans="1:26" ht="15.75" customHeight="1">
      <c r="A114" s="26">
        <f aca="true" t="shared" si="21" ref="A114:A123">A113+1</f>
        <v>83</v>
      </c>
      <c r="B114" s="59" t="s">
        <v>260</v>
      </c>
      <c r="C114" s="60" t="s">
        <v>78</v>
      </c>
      <c r="D114" s="194"/>
      <c r="E114" s="58">
        <v>1</v>
      </c>
      <c r="F114" s="62">
        <v>2118</v>
      </c>
      <c r="G114" s="61"/>
      <c r="H114" s="62"/>
      <c r="I114" s="61"/>
      <c r="J114" s="61"/>
      <c r="K114" s="63">
        <v>0.4</v>
      </c>
      <c r="L114" s="62">
        <f>(F114+H114)*K114</f>
        <v>847.2</v>
      </c>
      <c r="M114" s="62">
        <f>(F114+H114+L114)*50%</f>
        <v>1482.6</v>
      </c>
      <c r="N114" s="62"/>
      <c r="O114" s="61"/>
      <c r="P114" s="61"/>
      <c r="Q114" s="62"/>
      <c r="R114" s="62"/>
      <c r="S114" s="62"/>
      <c r="T114" s="62">
        <f t="shared" si="12"/>
        <v>4447.799999999999</v>
      </c>
      <c r="U114" s="62">
        <f aca="true" t="shared" si="22" ref="U114:U132">T114*12</f>
        <v>53373.59999999999</v>
      </c>
      <c r="V114" s="28">
        <v>0.5</v>
      </c>
      <c r="W114" s="25">
        <f aca="true" t="shared" si="23" ref="W114:W123">T114*V114</f>
        <v>2223.8999999999996</v>
      </c>
      <c r="X114" s="30">
        <f>T114+W114</f>
        <v>6671.699999999999</v>
      </c>
      <c r="Y114" s="25">
        <v>0.795</v>
      </c>
      <c r="Z114" s="25">
        <f>X114*Y114</f>
        <v>5304.001499999999</v>
      </c>
    </row>
    <row r="115" spans="1:26" ht="19.5" customHeight="1">
      <c r="A115" s="26">
        <f t="shared" si="21"/>
        <v>84</v>
      </c>
      <c r="B115" s="59" t="s">
        <v>261</v>
      </c>
      <c r="C115" s="60" t="s">
        <v>79</v>
      </c>
      <c r="D115" s="194"/>
      <c r="E115" s="58">
        <v>1</v>
      </c>
      <c r="F115" s="62">
        <v>2118</v>
      </c>
      <c r="G115" s="61"/>
      <c r="H115" s="62"/>
      <c r="I115" s="61"/>
      <c r="J115" s="61"/>
      <c r="K115" s="63">
        <v>0.2</v>
      </c>
      <c r="L115" s="62">
        <f>(F115+H115)*K115</f>
        <v>423.6</v>
      </c>
      <c r="M115" s="62">
        <f>(F115+H115+L115)*50%</f>
        <v>1270.8</v>
      </c>
      <c r="N115" s="62"/>
      <c r="O115" s="61"/>
      <c r="P115" s="61"/>
      <c r="Q115" s="62"/>
      <c r="R115" s="62"/>
      <c r="S115" s="62"/>
      <c r="T115" s="62">
        <f t="shared" si="12"/>
        <v>3812.3999999999996</v>
      </c>
      <c r="U115" s="62">
        <f t="shared" si="22"/>
        <v>45748.799999999996</v>
      </c>
      <c r="V115" s="28">
        <v>0.5</v>
      </c>
      <c r="W115" s="25">
        <f t="shared" si="23"/>
        <v>1906.1999999999998</v>
      </c>
      <c r="X115" s="30">
        <f>T115+W115</f>
        <v>5718.599999999999</v>
      </c>
      <c r="Y115" s="25">
        <v>0.795</v>
      </c>
      <c r="Z115" s="25">
        <f>X115*Y115</f>
        <v>4546.286999999999</v>
      </c>
    </row>
    <row r="116" spans="1:26" ht="19.5" customHeight="1">
      <c r="A116" s="26">
        <f t="shared" si="21"/>
        <v>85</v>
      </c>
      <c r="B116" s="59" t="s">
        <v>262</v>
      </c>
      <c r="C116" s="60" t="s">
        <v>80</v>
      </c>
      <c r="D116" s="194"/>
      <c r="E116" s="58">
        <v>1</v>
      </c>
      <c r="F116" s="62">
        <v>2118</v>
      </c>
      <c r="G116" s="61"/>
      <c r="H116" s="62"/>
      <c r="I116" s="61"/>
      <c r="J116" s="61"/>
      <c r="K116" s="63">
        <v>0.1</v>
      </c>
      <c r="L116" s="62">
        <f t="shared" si="17"/>
        <v>211.8</v>
      </c>
      <c r="M116" s="62">
        <f aca="true" t="shared" si="24" ref="M116:M132">(F116+H116+L116)*50%</f>
        <v>1164.9</v>
      </c>
      <c r="N116" s="62"/>
      <c r="O116" s="61"/>
      <c r="P116" s="61"/>
      <c r="Q116" s="62"/>
      <c r="R116" s="62"/>
      <c r="S116" s="62"/>
      <c r="T116" s="62">
        <f t="shared" si="12"/>
        <v>3494.7000000000003</v>
      </c>
      <c r="U116" s="62">
        <f t="shared" si="22"/>
        <v>41936.4</v>
      </c>
      <c r="V116" s="28">
        <v>0.5</v>
      </c>
      <c r="W116" s="25">
        <f t="shared" si="23"/>
        <v>1747.3500000000001</v>
      </c>
      <c r="X116" s="30">
        <f>T116+W116</f>
        <v>5242.05</v>
      </c>
      <c r="Y116" s="25">
        <v>0.795</v>
      </c>
      <c r="Z116" s="25">
        <f>X116*Y116</f>
        <v>4167.42975</v>
      </c>
    </row>
    <row r="117" spans="1:26" ht="19.5" customHeight="1">
      <c r="A117" s="26">
        <f t="shared" si="21"/>
        <v>86</v>
      </c>
      <c r="B117" s="59" t="s">
        <v>263</v>
      </c>
      <c r="C117" s="60" t="s">
        <v>81</v>
      </c>
      <c r="D117" s="194"/>
      <c r="E117" s="58">
        <v>1</v>
      </c>
      <c r="F117" s="62">
        <v>2118</v>
      </c>
      <c r="G117" s="61"/>
      <c r="H117" s="62"/>
      <c r="I117" s="61"/>
      <c r="J117" s="61"/>
      <c r="K117" s="63">
        <v>0.15</v>
      </c>
      <c r="L117" s="62">
        <f t="shared" si="17"/>
        <v>317.7</v>
      </c>
      <c r="M117" s="62">
        <f t="shared" si="24"/>
        <v>1217.85</v>
      </c>
      <c r="N117" s="62"/>
      <c r="O117" s="61"/>
      <c r="P117" s="61"/>
      <c r="Q117" s="62"/>
      <c r="R117" s="62"/>
      <c r="S117" s="62"/>
      <c r="T117" s="62">
        <f t="shared" si="12"/>
        <v>3653.5499999999997</v>
      </c>
      <c r="U117" s="62">
        <f t="shared" si="22"/>
        <v>43842.6</v>
      </c>
      <c r="V117" s="28">
        <v>0.5</v>
      </c>
      <c r="W117" s="25">
        <f t="shared" si="23"/>
        <v>1826.7749999999999</v>
      </c>
      <c r="X117" s="30">
        <f aca="true" t="shared" si="25" ref="X117:X132">T117+W117</f>
        <v>5480.325</v>
      </c>
      <c r="Y117" s="25">
        <v>0.795</v>
      </c>
      <c r="Z117" s="25">
        <f>X117*Y117</f>
        <v>4356.858375</v>
      </c>
    </row>
    <row r="118" spans="1:26" ht="19.5" customHeight="1">
      <c r="A118" s="26">
        <f t="shared" si="21"/>
        <v>87</v>
      </c>
      <c r="B118" s="59" t="s">
        <v>264</v>
      </c>
      <c r="C118" s="60" t="s">
        <v>91</v>
      </c>
      <c r="D118" s="194" t="s">
        <v>217</v>
      </c>
      <c r="E118" s="58">
        <v>1</v>
      </c>
      <c r="F118" s="62">
        <v>2118</v>
      </c>
      <c r="G118" s="61"/>
      <c r="H118" s="62"/>
      <c r="I118" s="61"/>
      <c r="J118" s="61"/>
      <c r="K118" s="63">
        <v>0.15</v>
      </c>
      <c r="L118" s="62"/>
      <c r="M118" s="62">
        <f t="shared" si="24"/>
        <v>1059</v>
      </c>
      <c r="N118" s="62">
        <f>3200-F118-H118-L118-M118</f>
        <v>23</v>
      </c>
      <c r="O118" s="61"/>
      <c r="P118" s="61"/>
      <c r="Q118" s="62"/>
      <c r="R118" s="62"/>
      <c r="S118" s="62"/>
      <c r="T118" s="62">
        <f t="shared" si="12"/>
        <v>3200</v>
      </c>
      <c r="U118" s="62">
        <f t="shared" si="22"/>
        <v>38400</v>
      </c>
      <c r="V118" s="28"/>
      <c r="W118" s="25"/>
      <c r="X118" s="30"/>
      <c r="Y118" s="25"/>
      <c r="Z118" s="25"/>
    </row>
    <row r="119" spans="1:30" s="105" customFormat="1" ht="19.5" customHeight="1">
      <c r="A119" s="26">
        <f t="shared" si="21"/>
        <v>88</v>
      </c>
      <c r="B119" s="59" t="s">
        <v>265</v>
      </c>
      <c r="C119" s="187" t="s">
        <v>92</v>
      </c>
      <c r="D119" s="194">
        <v>7.02</v>
      </c>
      <c r="E119" s="58">
        <v>1</v>
      </c>
      <c r="F119" s="62">
        <v>2118</v>
      </c>
      <c r="G119" s="61"/>
      <c r="H119" s="62"/>
      <c r="I119" s="61"/>
      <c r="J119" s="61"/>
      <c r="K119" s="63">
        <v>0.1</v>
      </c>
      <c r="L119" s="62">
        <f t="shared" si="17"/>
        <v>211.8</v>
      </c>
      <c r="M119" s="62">
        <f t="shared" si="24"/>
        <v>1164.9</v>
      </c>
      <c r="N119" s="62"/>
      <c r="O119" s="61"/>
      <c r="P119" s="61"/>
      <c r="Q119" s="62"/>
      <c r="R119" s="62"/>
      <c r="S119" s="62"/>
      <c r="T119" s="62">
        <f t="shared" si="12"/>
        <v>3494.7000000000003</v>
      </c>
      <c r="U119" s="62">
        <f t="shared" si="22"/>
        <v>41936.4</v>
      </c>
      <c r="V119" s="28">
        <v>0.5</v>
      </c>
      <c r="W119" s="25">
        <f t="shared" si="23"/>
        <v>1747.3500000000001</v>
      </c>
      <c r="X119" s="30">
        <f t="shared" si="25"/>
        <v>5242.05</v>
      </c>
      <c r="Y119" s="25">
        <v>0.795</v>
      </c>
      <c r="Z119" s="25">
        <f>X119*Y119</f>
        <v>4167.42975</v>
      </c>
      <c r="AA119" s="4"/>
      <c r="AB119" s="4"/>
      <c r="AC119" s="4"/>
      <c r="AD119" s="138"/>
    </row>
    <row r="120" spans="1:26" ht="19.5" customHeight="1">
      <c r="A120" s="26">
        <f t="shared" si="21"/>
        <v>89</v>
      </c>
      <c r="B120" s="59" t="s">
        <v>266</v>
      </c>
      <c r="C120" s="60" t="s">
        <v>82</v>
      </c>
      <c r="D120" s="194"/>
      <c r="E120" s="58">
        <v>1</v>
      </c>
      <c r="F120" s="62">
        <v>2118</v>
      </c>
      <c r="G120" s="61"/>
      <c r="H120" s="62"/>
      <c r="I120" s="61"/>
      <c r="J120" s="61"/>
      <c r="K120" s="63">
        <v>0.1</v>
      </c>
      <c r="L120" s="62">
        <f t="shared" si="17"/>
        <v>211.8</v>
      </c>
      <c r="M120" s="62">
        <f>(F120+H120+L120)*50%</f>
        <v>1164.9</v>
      </c>
      <c r="N120" s="62"/>
      <c r="O120" s="61"/>
      <c r="P120" s="61"/>
      <c r="Q120" s="62"/>
      <c r="R120" s="62"/>
      <c r="S120" s="62"/>
      <c r="T120" s="62">
        <f t="shared" si="12"/>
        <v>3494.7000000000003</v>
      </c>
      <c r="U120" s="62">
        <f t="shared" si="22"/>
        <v>41936.4</v>
      </c>
      <c r="V120" s="28">
        <v>0.5</v>
      </c>
      <c r="W120" s="25">
        <f t="shared" si="23"/>
        <v>1747.3500000000001</v>
      </c>
      <c r="X120" s="30">
        <f t="shared" si="25"/>
        <v>5242.05</v>
      </c>
      <c r="Y120" s="25">
        <v>0.795</v>
      </c>
      <c r="Z120" s="25">
        <f>X120*Y120</f>
        <v>4167.42975</v>
      </c>
    </row>
    <row r="121" spans="1:26" ht="18" customHeight="1">
      <c r="A121" s="26">
        <f t="shared" si="21"/>
        <v>90</v>
      </c>
      <c r="B121" s="59" t="s">
        <v>267</v>
      </c>
      <c r="C121" s="60" t="s">
        <v>90</v>
      </c>
      <c r="D121" s="194"/>
      <c r="E121" s="58">
        <v>1</v>
      </c>
      <c r="F121" s="62">
        <v>2118</v>
      </c>
      <c r="G121" s="61"/>
      <c r="H121" s="62"/>
      <c r="I121" s="63">
        <v>0.25</v>
      </c>
      <c r="J121" s="61">
        <f>F121*0.25</f>
        <v>529.5</v>
      </c>
      <c r="K121" s="63">
        <v>0.2</v>
      </c>
      <c r="L121" s="62">
        <f>(F121+H121+J121)*K121</f>
        <v>529.5</v>
      </c>
      <c r="M121" s="62">
        <f>(F121+H121+L121+J121)*50%</f>
        <v>1588.5</v>
      </c>
      <c r="N121" s="62"/>
      <c r="O121" s="89"/>
      <c r="P121" s="89"/>
      <c r="Q121" s="62"/>
      <c r="R121" s="89"/>
      <c r="S121" s="88"/>
      <c r="T121" s="62">
        <f t="shared" si="12"/>
        <v>4765.5</v>
      </c>
      <c r="U121" s="62">
        <f t="shared" si="22"/>
        <v>57186</v>
      </c>
      <c r="V121" s="28">
        <v>0.5</v>
      </c>
      <c r="W121" s="25">
        <f t="shared" si="23"/>
        <v>2382.75</v>
      </c>
      <c r="X121" s="30">
        <f t="shared" si="25"/>
        <v>7148.25</v>
      </c>
      <c r="Y121" s="25">
        <v>0.795</v>
      </c>
      <c r="Z121" s="25">
        <f>X121*Y121</f>
        <v>5682.85875</v>
      </c>
    </row>
    <row r="122" spans="1:30" s="105" customFormat="1" ht="19.5" customHeight="1">
      <c r="A122" s="26">
        <f t="shared" si="21"/>
        <v>91</v>
      </c>
      <c r="B122" s="59" t="s">
        <v>267</v>
      </c>
      <c r="C122" s="187" t="s">
        <v>90</v>
      </c>
      <c r="D122" s="216">
        <v>42830</v>
      </c>
      <c r="E122" s="58">
        <v>1</v>
      </c>
      <c r="F122" s="62">
        <v>2118</v>
      </c>
      <c r="G122" s="61"/>
      <c r="H122" s="62"/>
      <c r="I122" s="63">
        <v>0.25</v>
      </c>
      <c r="J122" s="61">
        <f>F122*0.25</f>
        <v>529.5</v>
      </c>
      <c r="K122" s="63">
        <v>0.25</v>
      </c>
      <c r="L122" s="62">
        <f>(F122+H122+J122)*K122</f>
        <v>661.875</v>
      </c>
      <c r="M122" s="62">
        <f>(F122+H122+L122+J122)*50%</f>
        <v>1654.6875</v>
      </c>
      <c r="N122" s="62"/>
      <c r="O122" s="89"/>
      <c r="P122" s="89"/>
      <c r="Q122" s="62"/>
      <c r="R122" s="89"/>
      <c r="S122" s="88"/>
      <c r="T122" s="62">
        <f t="shared" si="12"/>
        <v>4964.0625</v>
      </c>
      <c r="U122" s="62">
        <f t="shared" si="22"/>
        <v>59568.75</v>
      </c>
      <c r="V122" s="28">
        <v>0.5</v>
      </c>
      <c r="W122" s="25">
        <f t="shared" si="23"/>
        <v>2482.03125</v>
      </c>
      <c r="X122" s="30">
        <f t="shared" si="25"/>
        <v>7446.09375</v>
      </c>
      <c r="Y122" s="25">
        <v>0.795</v>
      </c>
      <c r="Z122" s="25">
        <f>X122*Y122</f>
        <v>5919.64453125</v>
      </c>
      <c r="AA122" s="4"/>
      <c r="AB122" s="4"/>
      <c r="AC122" s="4"/>
      <c r="AD122" s="138"/>
    </row>
    <row r="123" spans="1:26" ht="19.5" customHeight="1">
      <c r="A123" s="26">
        <f t="shared" si="21"/>
        <v>92</v>
      </c>
      <c r="B123" s="59" t="s">
        <v>268</v>
      </c>
      <c r="C123" s="60" t="s">
        <v>83</v>
      </c>
      <c r="D123" s="194"/>
      <c r="E123" s="58">
        <v>1</v>
      </c>
      <c r="F123" s="62">
        <v>2118</v>
      </c>
      <c r="G123" s="61"/>
      <c r="H123" s="62"/>
      <c r="I123" s="61"/>
      <c r="J123" s="61"/>
      <c r="K123" s="63">
        <v>0.2</v>
      </c>
      <c r="L123" s="62">
        <f t="shared" si="17"/>
        <v>423.6</v>
      </c>
      <c r="M123" s="62">
        <f t="shared" si="24"/>
        <v>1270.8</v>
      </c>
      <c r="N123" s="62"/>
      <c r="O123" s="61"/>
      <c r="P123" s="61"/>
      <c r="Q123" s="62"/>
      <c r="R123" s="62"/>
      <c r="S123" s="62"/>
      <c r="T123" s="62">
        <f aca="true" t="shared" si="26" ref="T123:T132">F123+H123+L123+M123+R123+S123+P123+J123+N123</f>
        <v>3812.3999999999996</v>
      </c>
      <c r="U123" s="62">
        <f t="shared" si="22"/>
        <v>45748.799999999996</v>
      </c>
      <c r="V123" s="28">
        <v>0.5</v>
      </c>
      <c r="W123" s="25">
        <f t="shared" si="23"/>
        <v>1906.1999999999998</v>
      </c>
      <c r="X123" s="30">
        <f t="shared" si="25"/>
        <v>5718.599999999999</v>
      </c>
      <c r="Y123" s="25">
        <v>0.795</v>
      </c>
      <c r="Z123" s="25">
        <f>X123*Y123</f>
        <v>4546.286999999999</v>
      </c>
    </row>
    <row r="124" spans="1:26" ht="33.75" customHeight="1">
      <c r="A124" s="26"/>
      <c r="B124" s="186" t="s">
        <v>45</v>
      </c>
      <c r="C124" s="187"/>
      <c r="D124" s="194"/>
      <c r="E124" s="58"/>
      <c r="F124" s="62"/>
      <c r="G124" s="61"/>
      <c r="H124" s="62"/>
      <c r="I124" s="61"/>
      <c r="J124" s="61"/>
      <c r="K124" s="63"/>
      <c r="L124" s="62"/>
      <c r="M124" s="62"/>
      <c r="N124" s="62"/>
      <c r="O124" s="61"/>
      <c r="P124" s="61"/>
      <c r="Q124" s="62"/>
      <c r="R124" s="62"/>
      <c r="S124" s="62"/>
      <c r="T124" s="62"/>
      <c r="U124" s="62"/>
      <c r="V124" s="28"/>
      <c r="W124" s="25"/>
      <c r="X124" s="30"/>
      <c r="Y124" s="25"/>
      <c r="Z124" s="25"/>
    </row>
    <row r="125" spans="1:30" s="105" customFormat="1" ht="18" customHeight="1">
      <c r="A125" s="26">
        <v>93</v>
      </c>
      <c r="B125" s="59" t="s">
        <v>13</v>
      </c>
      <c r="C125" s="187"/>
      <c r="D125" s="194">
        <v>24.04</v>
      </c>
      <c r="E125" s="58">
        <v>1</v>
      </c>
      <c r="F125" s="62">
        <v>3400</v>
      </c>
      <c r="G125" s="61">
        <v>13</v>
      </c>
      <c r="H125" s="62">
        <v>55</v>
      </c>
      <c r="I125" s="61"/>
      <c r="J125" s="61"/>
      <c r="K125" s="63"/>
      <c r="L125" s="62">
        <f t="shared" si="17"/>
        <v>0</v>
      </c>
      <c r="M125" s="62">
        <f t="shared" si="24"/>
        <v>1727.5</v>
      </c>
      <c r="N125" s="62"/>
      <c r="O125" s="61"/>
      <c r="P125" s="61"/>
      <c r="Q125" s="62"/>
      <c r="R125" s="62"/>
      <c r="S125" s="62"/>
      <c r="T125" s="62">
        <f t="shared" si="26"/>
        <v>5182.5</v>
      </c>
      <c r="U125" s="62">
        <f t="shared" si="22"/>
        <v>62190</v>
      </c>
      <c r="V125" s="28"/>
      <c r="W125" s="25"/>
      <c r="X125" s="30"/>
      <c r="Y125" s="25"/>
      <c r="Z125" s="25"/>
      <c r="AA125" s="4"/>
      <c r="AB125" s="4"/>
      <c r="AC125" s="4"/>
      <c r="AD125" s="138"/>
    </row>
    <row r="126" spans="1:29" s="138" customFormat="1" ht="18" customHeight="1">
      <c r="A126" s="26">
        <f>A125+1</f>
        <v>94</v>
      </c>
      <c r="B126" s="59" t="s">
        <v>14</v>
      </c>
      <c r="C126" s="60"/>
      <c r="D126" s="194">
        <v>24.04</v>
      </c>
      <c r="E126" s="58">
        <v>1</v>
      </c>
      <c r="F126" s="62">
        <v>3200</v>
      </c>
      <c r="G126" s="61">
        <v>15</v>
      </c>
      <c r="H126" s="62">
        <v>45</v>
      </c>
      <c r="I126" s="61"/>
      <c r="J126" s="61"/>
      <c r="K126" s="63"/>
      <c r="L126" s="62">
        <f t="shared" si="17"/>
        <v>0</v>
      </c>
      <c r="M126" s="62">
        <f t="shared" si="24"/>
        <v>1622.5</v>
      </c>
      <c r="N126" s="62"/>
      <c r="O126" s="61"/>
      <c r="P126" s="61"/>
      <c r="Q126" s="62"/>
      <c r="R126" s="62"/>
      <c r="S126" s="62"/>
      <c r="T126" s="62">
        <f t="shared" si="26"/>
        <v>4867.5</v>
      </c>
      <c r="U126" s="62">
        <f t="shared" si="22"/>
        <v>58410</v>
      </c>
      <c r="V126" s="28"/>
      <c r="W126" s="25"/>
      <c r="X126" s="30"/>
      <c r="Y126" s="25"/>
      <c r="Z126" s="25"/>
      <c r="AA126" s="4"/>
      <c r="AB126" s="4"/>
      <c r="AC126" s="4"/>
    </row>
    <row r="127" spans="1:29" s="138" customFormat="1" ht="18" customHeight="1">
      <c r="A127" s="26">
        <f>A126+1</f>
        <v>95</v>
      </c>
      <c r="B127" s="59" t="s">
        <v>14</v>
      </c>
      <c r="C127" s="60"/>
      <c r="D127" s="194"/>
      <c r="E127" s="58">
        <v>1</v>
      </c>
      <c r="F127" s="62">
        <v>3200</v>
      </c>
      <c r="G127" s="61">
        <v>13</v>
      </c>
      <c r="H127" s="62">
        <v>55</v>
      </c>
      <c r="I127" s="61"/>
      <c r="J127" s="61"/>
      <c r="K127" s="63">
        <v>0.15</v>
      </c>
      <c r="L127" s="62">
        <f t="shared" si="17"/>
        <v>488.25</v>
      </c>
      <c r="M127" s="62">
        <f t="shared" si="24"/>
        <v>1871.625</v>
      </c>
      <c r="N127" s="62"/>
      <c r="O127" s="61"/>
      <c r="P127" s="61"/>
      <c r="Q127" s="62"/>
      <c r="R127" s="62"/>
      <c r="S127" s="62"/>
      <c r="T127" s="62">
        <f t="shared" si="26"/>
        <v>5614.875</v>
      </c>
      <c r="U127" s="62">
        <f t="shared" si="22"/>
        <v>67378.5</v>
      </c>
      <c r="V127" s="28"/>
      <c r="W127" s="25"/>
      <c r="X127" s="30"/>
      <c r="Y127" s="25"/>
      <c r="Z127" s="25"/>
      <c r="AA127" s="4"/>
      <c r="AB127" s="4"/>
      <c r="AC127" s="4"/>
    </row>
    <row r="128" spans="1:30" s="105" customFormat="1" ht="18" customHeight="1">
      <c r="A128" s="26">
        <f>A127+1</f>
        <v>96</v>
      </c>
      <c r="B128" s="186" t="s">
        <v>34</v>
      </c>
      <c r="C128" s="187"/>
      <c r="D128" s="194"/>
      <c r="E128" s="58">
        <v>1</v>
      </c>
      <c r="F128" s="62">
        <v>1895</v>
      </c>
      <c r="G128" s="61"/>
      <c r="H128" s="62"/>
      <c r="I128" s="61"/>
      <c r="J128" s="61"/>
      <c r="K128" s="63"/>
      <c r="L128" s="62"/>
      <c r="M128" s="62">
        <f t="shared" si="24"/>
        <v>947.5</v>
      </c>
      <c r="N128" s="62">
        <f>3200-F128-H128-L128-M128</f>
        <v>357.5</v>
      </c>
      <c r="O128" s="61"/>
      <c r="P128" s="61"/>
      <c r="Q128" s="62"/>
      <c r="R128" s="62"/>
      <c r="S128" s="62"/>
      <c r="T128" s="62">
        <f t="shared" si="26"/>
        <v>3200</v>
      </c>
      <c r="U128" s="62">
        <f t="shared" si="22"/>
        <v>38400</v>
      </c>
      <c r="V128" s="28"/>
      <c r="W128" s="25"/>
      <c r="X128" s="30"/>
      <c r="Y128" s="25"/>
      <c r="Z128" s="25"/>
      <c r="AA128" s="4"/>
      <c r="AB128" s="4"/>
      <c r="AC128" s="4"/>
      <c r="AD128" s="138"/>
    </row>
    <row r="129" spans="1:26" ht="18" customHeight="1">
      <c r="A129" s="26"/>
      <c r="B129" s="186" t="s">
        <v>35</v>
      </c>
      <c r="C129" s="187"/>
      <c r="D129" s="194"/>
      <c r="E129" s="58"/>
      <c r="F129" s="62"/>
      <c r="G129" s="61"/>
      <c r="H129" s="62"/>
      <c r="I129" s="61"/>
      <c r="J129" s="61"/>
      <c r="K129" s="63"/>
      <c r="L129" s="62"/>
      <c r="M129" s="62"/>
      <c r="N129" s="62"/>
      <c r="O129" s="61"/>
      <c r="P129" s="61"/>
      <c r="Q129" s="62"/>
      <c r="R129" s="62"/>
      <c r="S129" s="62"/>
      <c r="T129" s="62"/>
      <c r="U129" s="62"/>
      <c r="V129" s="28"/>
      <c r="W129" s="25"/>
      <c r="X129" s="30"/>
      <c r="Y129" s="25"/>
      <c r="Z129" s="25"/>
    </row>
    <row r="130" spans="1:26" ht="18" customHeight="1">
      <c r="A130" s="26">
        <v>97</v>
      </c>
      <c r="B130" s="59" t="s">
        <v>208</v>
      </c>
      <c r="C130" s="60"/>
      <c r="D130" s="194"/>
      <c r="E130" s="58">
        <v>1</v>
      </c>
      <c r="F130" s="62">
        <v>2118</v>
      </c>
      <c r="G130" s="61"/>
      <c r="H130" s="62"/>
      <c r="I130" s="61"/>
      <c r="J130" s="61"/>
      <c r="K130" s="227">
        <v>0.2</v>
      </c>
      <c r="L130" s="62">
        <f>(F130+H130)*K130</f>
        <v>423.6</v>
      </c>
      <c r="M130" s="62">
        <f t="shared" si="24"/>
        <v>1270.8</v>
      </c>
      <c r="N130" s="62"/>
      <c r="O130" s="61"/>
      <c r="P130" s="61"/>
      <c r="Q130" s="62"/>
      <c r="R130" s="62"/>
      <c r="S130" s="62"/>
      <c r="T130" s="62">
        <f t="shared" si="26"/>
        <v>3812.3999999999996</v>
      </c>
      <c r="U130" s="62">
        <f t="shared" si="22"/>
        <v>45748.799999999996</v>
      </c>
      <c r="V130" s="28">
        <v>0.8</v>
      </c>
      <c r="W130" s="25">
        <f>T130*V130</f>
        <v>3049.92</v>
      </c>
      <c r="X130" s="30">
        <f t="shared" si="25"/>
        <v>6862.32</v>
      </c>
      <c r="Y130" s="25">
        <v>0.795</v>
      </c>
      <c r="Z130" s="25">
        <f>X130*Y130</f>
        <v>5455.5444</v>
      </c>
    </row>
    <row r="131" spans="1:26" ht="16.5" customHeight="1">
      <c r="A131" s="26">
        <f>A130+1</f>
        <v>98</v>
      </c>
      <c r="B131" s="59" t="s">
        <v>32</v>
      </c>
      <c r="C131" s="60"/>
      <c r="D131" s="194"/>
      <c r="E131" s="58">
        <v>1</v>
      </c>
      <c r="F131" s="62">
        <v>2118</v>
      </c>
      <c r="G131" s="61"/>
      <c r="H131" s="62"/>
      <c r="I131" s="61"/>
      <c r="J131" s="61"/>
      <c r="K131" s="63"/>
      <c r="L131" s="62">
        <f>(F131+H131)*K131</f>
        <v>0</v>
      </c>
      <c r="M131" s="62">
        <f t="shared" si="24"/>
        <v>1059</v>
      </c>
      <c r="N131" s="62">
        <f>3200-F131-H131-L131-M131</f>
        <v>23</v>
      </c>
      <c r="O131" s="61"/>
      <c r="P131" s="61"/>
      <c r="Q131" s="62"/>
      <c r="R131" s="62"/>
      <c r="S131" s="62"/>
      <c r="T131" s="62">
        <f t="shared" si="26"/>
        <v>3200</v>
      </c>
      <c r="U131" s="62">
        <f t="shared" si="22"/>
        <v>38400</v>
      </c>
      <c r="V131" s="28">
        <v>0.7</v>
      </c>
      <c r="W131" s="25">
        <f>T131*V131</f>
        <v>2240</v>
      </c>
      <c r="X131" s="30">
        <f t="shared" si="25"/>
        <v>5440</v>
      </c>
      <c r="Y131" s="25">
        <v>0.795</v>
      </c>
      <c r="Z131" s="25">
        <f>X131*Y131</f>
        <v>4324.8</v>
      </c>
    </row>
    <row r="132" spans="1:26" ht="31.5" customHeight="1">
      <c r="A132" s="26">
        <f>A131+1</f>
        <v>99</v>
      </c>
      <c r="B132" s="59" t="s">
        <v>49</v>
      </c>
      <c r="C132" s="60"/>
      <c r="D132" s="194"/>
      <c r="E132" s="58">
        <v>1</v>
      </c>
      <c r="F132" s="62">
        <v>2118</v>
      </c>
      <c r="G132" s="61"/>
      <c r="H132" s="62"/>
      <c r="I132" s="61"/>
      <c r="J132" s="61"/>
      <c r="K132" s="63"/>
      <c r="L132" s="62">
        <f>(F132+H132)*K132</f>
        <v>0</v>
      </c>
      <c r="M132" s="62">
        <f t="shared" si="24"/>
        <v>1059</v>
      </c>
      <c r="N132" s="62">
        <f>3200-F132-H132-L132-M132</f>
        <v>23</v>
      </c>
      <c r="O132" s="61"/>
      <c r="P132" s="61"/>
      <c r="Q132" s="62"/>
      <c r="R132" s="62"/>
      <c r="S132" s="62"/>
      <c r="T132" s="62">
        <f t="shared" si="26"/>
        <v>3200</v>
      </c>
      <c r="U132" s="62">
        <f t="shared" si="22"/>
        <v>38400</v>
      </c>
      <c r="V132" s="28">
        <v>0.5</v>
      </c>
      <c r="W132" s="25">
        <f>T132*V132</f>
        <v>1600</v>
      </c>
      <c r="X132" s="30">
        <f t="shared" si="25"/>
        <v>4800</v>
      </c>
      <c r="Y132" s="25">
        <v>0.795</v>
      </c>
      <c r="Z132" s="25">
        <f>X132*Y132</f>
        <v>3816</v>
      </c>
    </row>
    <row r="133" spans="1:31" ht="24.75" customHeight="1">
      <c r="A133" s="33"/>
      <c r="B133" s="153" t="s">
        <v>24</v>
      </c>
      <c r="C133" s="154"/>
      <c r="D133" s="197"/>
      <c r="E133" s="87">
        <f>SUM(E23:E132)</f>
        <v>96</v>
      </c>
      <c r="F133" s="88">
        <f>SUM(F23:F132)</f>
        <v>301268</v>
      </c>
      <c r="G133" s="89"/>
      <c r="H133" s="88">
        <f>SUM(H23:H132)</f>
        <v>4510</v>
      </c>
      <c r="I133" s="89"/>
      <c r="J133" s="88">
        <f>SUM(J23:J132)</f>
        <v>4332.75</v>
      </c>
      <c r="K133" s="89"/>
      <c r="L133" s="88">
        <f>SUM(L23:L132)</f>
        <v>50563.1625</v>
      </c>
      <c r="M133" s="88">
        <f>SUM(M23:M132)</f>
        <v>180336.95624999996</v>
      </c>
      <c r="N133" s="88">
        <f>SUM(N23:N132)</f>
        <v>1638.75</v>
      </c>
      <c r="O133" s="89">
        <f>SUM(O23:O132)</f>
        <v>0</v>
      </c>
      <c r="P133" s="89"/>
      <c r="Q133" s="88"/>
      <c r="R133" s="89"/>
      <c r="S133" s="89">
        <f>SUM(S23:S132)</f>
        <v>0</v>
      </c>
      <c r="T133" s="88">
        <f>SUM(T23:T132)</f>
        <v>542649.61875</v>
      </c>
      <c r="U133" s="88">
        <f>SUM(U23:U132)</f>
        <v>6511795.425</v>
      </c>
      <c r="V133" s="42"/>
      <c r="W133" s="42"/>
      <c r="X133" s="42"/>
      <c r="Y133" s="42"/>
      <c r="Z133" s="42"/>
      <c r="AA133" s="42"/>
      <c r="AB133" s="42"/>
      <c r="AC133" s="42"/>
      <c r="AD133" s="43"/>
      <c r="AE133" s="43"/>
    </row>
    <row r="134" spans="1:21" ht="12.75" hidden="1">
      <c r="A134" s="33"/>
      <c r="B134" s="32"/>
      <c r="C134" s="32"/>
      <c r="D134" s="197"/>
      <c r="E134" s="3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</row>
    <row r="135" spans="1:21" ht="12.75" hidden="1">
      <c r="A135" s="33"/>
      <c r="B135" s="32"/>
      <c r="C135" s="32"/>
      <c r="D135" s="197"/>
      <c r="E135" s="3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5"/>
    </row>
    <row r="136" spans="1:21" ht="12.75">
      <c r="A136" s="36"/>
      <c r="B136" s="37"/>
      <c r="C136" s="37"/>
      <c r="D136" s="198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ht="12.75">
      <c r="A137" s="36"/>
      <c r="B137" s="37"/>
      <c r="C137" s="37"/>
      <c r="D137" s="198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ht="15" customHeight="1">
      <c r="A138" s="36"/>
      <c r="B138" s="274" t="s">
        <v>147</v>
      </c>
      <c r="C138" s="274"/>
      <c r="D138" s="274"/>
      <c r="E138" s="274"/>
      <c r="F138" s="155"/>
      <c r="G138" s="155"/>
      <c r="H138" s="276" t="s">
        <v>222</v>
      </c>
      <c r="I138" s="276"/>
      <c r="J138" s="276"/>
      <c r="K138" s="276"/>
      <c r="L138" s="276"/>
      <c r="M138" s="276"/>
      <c r="N138" s="35"/>
      <c r="O138" s="35"/>
      <c r="P138" s="35"/>
      <c r="Q138" s="35"/>
      <c r="R138" s="35"/>
      <c r="S138" s="35"/>
      <c r="T138" s="35"/>
      <c r="U138" s="35"/>
    </row>
    <row r="139" spans="1:21" ht="13.5" customHeight="1">
      <c r="A139" s="36"/>
      <c r="B139" s="97"/>
      <c r="C139" s="97"/>
      <c r="D139" s="217"/>
      <c r="E139" s="211"/>
      <c r="F139" s="35"/>
      <c r="G139" s="35"/>
      <c r="H139" s="278" t="s">
        <v>96</v>
      </c>
      <c r="I139" s="279"/>
      <c r="J139" s="279"/>
      <c r="K139" s="279"/>
      <c r="L139" s="279"/>
      <c r="M139" s="279"/>
      <c r="N139" s="35"/>
      <c r="O139" s="35"/>
      <c r="P139" s="35"/>
      <c r="Q139" s="35"/>
      <c r="R139" s="35"/>
      <c r="S139" s="35"/>
      <c r="T139" s="35"/>
      <c r="U139" s="35"/>
    </row>
    <row r="140" spans="1:21" ht="13.5" customHeight="1">
      <c r="A140" s="36"/>
      <c r="B140" s="97"/>
      <c r="C140" s="152"/>
      <c r="D140" s="218"/>
      <c r="E140" s="212"/>
      <c r="F140" s="35"/>
      <c r="G140" s="35"/>
      <c r="H140" s="44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ht="20.25" customHeight="1">
      <c r="A141" s="36"/>
      <c r="B141" s="97"/>
      <c r="C141" s="152"/>
      <c r="D141" s="218"/>
      <c r="E141" s="212"/>
      <c r="F141" s="35"/>
      <c r="G141" s="35"/>
      <c r="H141" s="277"/>
      <c r="I141" s="277"/>
      <c r="J141" s="277"/>
      <c r="K141" s="277"/>
      <c r="L141" s="277"/>
      <c r="M141" s="277"/>
      <c r="N141" s="35"/>
      <c r="O141" s="35"/>
      <c r="P141" s="35"/>
      <c r="Q141" s="35"/>
      <c r="R141" s="35"/>
      <c r="S141" s="35"/>
      <c r="T141" s="35"/>
      <c r="U141" s="35"/>
    </row>
    <row r="142" spans="1:21" ht="17.25" customHeight="1">
      <c r="A142" s="36"/>
      <c r="B142" s="274" t="s">
        <v>94</v>
      </c>
      <c r="C142" s="274"/>
      <c r="D142" s="274"/>
      <c r="E142" s="274"/>
      <c r="F142" s="128"/>
      <c r="G142" s="128"/>
      <c r="H142" s="128"/>
      <c r="I142" s="128"/>
      <c r="J142" s="128"/>
      <c r="K142" s="128"/>
      <c r="L142" s="276" t="s">
        <v>112</v>
      </c>
      <c r="M142" s="276"/>
      <c r="N142" s="35"/>
      <c r="O142" s="35"/>
      <c r="P142" s="35"/>
      <c r="Q142" s="35"/>
      <c r="R142" s="35"/>
      <c r="S142" s="35"/>
      <c r="T142" s="35"/>
      <c r="U142" s="35"/>
    </row>
    <row r="143" spans="1:21" ht="14.25" customHeight="1">
      <c r="A143" s="36"/>
      <c r="B143"/>
      <c r="C143"/>
      <c r="D143" s="199"/>
      <c r="E143" s="38"/>
      <c r="F143" s="35"/>
      <c r="G143" s="35"/>
      <c r="H143" s="278" t="s">
        <v>97</v>
      </c>
      <c r="I143" s="278"/>
      <c r="J143" s="278"/>
      <c r="K143" s="278"/>
      <c r="L143" s="278"/>
      <c r="M143" s="278"/>
      <c r="N143" s="35"/>
      <c r="O143" s="35"/>
      <c r="P143" s="35"/>
      <c r="Q143" s="35"/>
      <c r="R143" s="35"/>
      <c r="S143" s="35"/>
      <c r="T143" s="35"/>
      <c r="U143" s="35"/>
    </row>
    <row r="144" spans="1:21" ht="15.75">
      <c r="A144" s="36"/>
      <c r="B144" s="129"/>
      <c r="C144"/>
      <c r="D144" s="199"/>
      <c r="E144" s="38"/>
      <c r="F144" s="35" t="s">
        <v>75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ht="12.75">
      <c r="A145" s="36"/>
      <c r="B145"/>
      <c r="C145"/>
      <c r="D145" s="199"/>
      <c r="E145" s="38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ht="12.75">
      <c r="A146" s="36"/>
      <c r="B146" s="275" t="s">
        <v>148</v>
      </c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</row>
    <row r="147" spans="1:21" ht="12.75">
      <c r="A147" s="36"/>
      <c r="B147" s="37"/>
      <c r="C147" s="37"/>
      <c r="D147" s="198"/>
      <c r="E147" s="38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ht="12.75">
      <c r="A148" s="36"/>
      <c r="B148" s="37"/>
      <c r="C148" s="37"/>
      <c r="D148" s="198"/>
      <c r="E148" s="38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ht="12.75">
      <c r="A149" s="36"/>
      <c r="B149" s="37"/>
      <c r="C149" s="37"/>
      <c r="D149" s="198"/>
      <c r="E149" s="38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ht="12.75">
      <c r="A150" s="36"/>
      <c r="B150" s="37"/>
      <c r="C150" s="37"/>
      <c r="D150" s="198"/>
      <c r="E150" s="38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12.75">
      <c r="A151" s="36"/>
      <c r="B151" s="37"/>
      <c r="C151" s="37"/>
      <c r="D151" s="198"/>
      <c r="E151" s="38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2.75">
      <c r="A152" s="36"/>
      <c r="B152" s="37"/>
      <c r="C152" s="37"/>
      <c r="D152" s="198"/>
      <c r="E152" s="38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12.75">
      <c r="A153" s="36"/>
      <c r="B153" s="37"/>
      <c r="C153" s="37"/>
      <c r="D153" s="198"/>
      <c r="E153" s="38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12.75">
      <c r="A154" s="36"/>
      <c r="B154" s="37"/>
      <c r="C154" s="37"/>
      <c r="D154" s="198"/>
      <c r="E154" s="38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12.75">
      <c r="A155" s="36"/>
      <c r="B155" s="37"/>
      <c r="C155" s="37"/>
      <c r="D155" s="198"/>
      <c r="E155" s="38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12.75">
      <c r="A156" s="36"/>
      <c r="B156" s="37"/>
      <c r="C156" s="37"/>
      <c r="D156" s="198"/>
      <c r="E156" s="38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12.75">
      <c r="A157" s="36"/>
      <c r="B157" s="37"/>
      <c r="C157" s="37"/>
      <c r="D157" s="198"/>
      <c r="E157" s="38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2.75">
      <c r="A158" s="36"/>
      <c r="B158" s="37"/>
      <c r="C158" s="37"/>
      <c r="D158" s="198"/>
      <c r="E158" s="38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ht="12.75">
      <c r="A159" s="36"/>
      <c r="B159" s="37"/>
      <c r="C159" s="37"/>
      <c r="D159" s="198"/>
      <c r="E159" s="38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ht="12.75">
      <c r="A160" s="36"/>
      <c r="B160" s="37"/>
      <c r="C160" s="37"/>
      <c r="D160" s="198"/>
      <c r="E160" s="38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ht="12.75">
      <c r="A161" s="36"/>
      <c r="B161" s="37"/>
      <c r="C161" s="37"/>
      <c r="D161" s="198"/>
      <c r="E161" s="38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ht="12.75">
      <c r="A162" s="36"/>
      <c r="B162" s="37"/>
      <c r="C162" s="37"/>
      <c r="D162" s="198"/>
      <c r="E162" s="38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ht="12.75">
      <c r="A163" s="36"/>
      <c r="B163" s="37"/>
      <c r="C163" s="37"/>
      <c r="D163" s="198"/>
      <c r="E163" s="38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ht="12.75">
      <c r="A164" s="36"/>
      <c r="B164" s="37"/>
      <c r="C164" s="37"/>
      <c r="D164" s="198"/>
      <c r="E164" s="38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ht="12.75">
      <c r="A165" s="36"/>
      <c r="B165" s="37"/>
      <c r="C165" s="37"/>
      <c r="D165" s="198"/>
      <c r="E165" s="38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ht="12.75">
      <c r="A166" s="36"/>
      <c r="B166" s="37"/>
      <c r="C166" s="37"/>
      <c r="D166" s="198"/>
      <c r="E166" s="38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</sheetData>
  <sheetProtection/>
  <mergeCells count="24">
    <mergeCell ref="M8:T8"/>
    <mergeCell ref="L142:M142"/>
    <mergeCell ref="B142:E142"/>
    <mergeCell ref="A20:A21"/>
    <mergeCell ref="F18:T18"/>
    <mergeCell ref="B20:B21"/>
    <mergeCell ref="E20:E21"/>
    <mergeCell ref="F20:F21"/>
    <mergeCell ref="G20:L20"/>
    <mergeCell ref="M20:N20"/>
    <mergeCell ref="T20:T21"/>
    <mergeCell ref="U20:U21"/>
    <mergeCell ref="O20:O21"/>
    <mergeCell ref="B13:H14"/>
    <mergeCell ref="L17:M17"/>
    <mergeCell ref="B16:H16"/>
    <mergeCell ref="B17:H17"/>
    <mergeCell ref="T14:U14"/>
    <mergeCell ref="B138:E138"/>
    <mergeCell ref="B146:U146"/>
    <mergeCell ref="H138:M138"/>
    <mergeCell ref="H141:M141"/>
    <mergeCell ref="H143:M143"/>
    <mergeCell ref="H139:M139"/>
  </mergeCells>
  <printOptions/>
  <pageMargins left="0.7874015748031497" right="0.1968503937007874" top="0.3937007874015748" bottom="0.3937007874015748" header="0" footer="0"/>
  <pageSetup fitToHeight="6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tabSelected="1" zoomScalePageLayoutView="0" workbookViewId="0" topLeftCell="A1">
      <selection activeCell="W21" sqref="W21"/>
    </sheetView>
  </sheetViews>
  <sheetFormatPr defaultColWidth="9.00390625" defaultRowHeight="12.75"/>
  <cols>
    <col min="1" max="1" width="4.00390625" style="0" customWidth="1"/>
    <col min="2" max="2" width="5.75390625" style="4" customWidth="1"/>
    <col min="3" max="3" width="43.625" style="4" customWidth="1"/>
    <col min="4" max="4" width="0.2421875" style="4" hidden="1" customWidth="1"/>
    <col min="5" max="5" width="7.75390625" style="4" hidden="1" customWidth="1"/>
    <col min="6" max="6" width="24.875" style="133" bestFit="1" customWidth="1"/>
    <col min="7" max="8" width="9.875" style="133" hidden="1" customWidth="1"/>
    <col min="9" max="9" width="11.125" style="133" hidden="1" customWidth="1"/>
    <col min="10" max="11" width="10.00390625" style="133" hidden="1" customWidth="1"/>
    <col min="12" max="12" width="9.75390625" style="133" hidden="1" customWidth="1"/>
    <col min="13" max="13" width="9.375" style="133" hidden="1" customWidth="1"/>
    <col min="14" max="14" width="10.25390625" style="133" hidden="1" customWidth="1"/>
    <col min="15" max="16" width="8.875" style="133" hidden="1" customWidth="1"/>
    <col min="17" max="17" width="10.00390625" style="133" hidden="1" customWidth="1"/>
    <col min="18" max="18" width="11.625" style="133" hidden="1" customWidth="1"/>
    <col min="19" max="19" width="13.125" style="133" hidden="1" customWidth="1"/>
    <col min="20" max="20" width="6.25390625" style="4" hidden="1" customWidth="1"/>
  </cols>
  <sheetData>
    <row r="1" ht="0.75" customHeight="1"/>
    <row r="2" spans="13:20" ht="15.75" hidden="1">
      <c r="M2" s="165"/>
      <c r="N2" s="165"/>
      <c r="O2" s="9"/>
      <c r="P2" s="9"/>
      <c r="Q2" s="165"/>
      <c r="R2" s="288" t="s">
        <v>67</v>
      </c>
      <c r="S2" s="288"/>
      <c r="T2" s="288"/>
    </row>
    <row r="3" spans="13:20" ht="10.5" customHeight="1" hidden="1">
      <c r="M3" s="165"/>
      <c r="N3" s="165"/>
      <c r="O3" s="9"/>
      <c r="P3" s="9"/>
      <c r="Q3" s="165"/>
      <c r="R3" s="288" t="s">
        <v>68</v>
      </c>
      <c r="S3" s="288"/>
      <c r="T3" s="288"/>
    </row>
    <row r="4" spans="13:20" ht="10.5" customHeight="1" hidden="1">
      <c r="M4" s="165"/>
      <c r="N4" s="165"/>
      <c r="O4" s="9"/>
      <c r="P4" s="9"/>
      <c r="Q4" s="165"/>
      <c r="R4" s="288" t="s">
        <v>69</v>
      </c>
      <c r="S4" s="288"/>
      <c r="T4" s="288"/>
    </row>
    <row r="5" spans="13:20" ht="10.5" customHeight="1" hidden="1">
      <c r="M5" s="165"/>
      <c r="N5" s="165"/>
      <c r="O5" s="9"/>
      <c r="P5" s="9"/>
      <c r="Q5" s="165"/>
      <c r="R5" s="288" t="s">
        <v>70</v>
      </c>
      <c r="S5" s="288"/>
      <c r="T5" s="288"/>
    </row>
    <row r="6" spans="13:20" ht="10.5" customHeight="1" hidden="1">
      <c r="M6" s="165"/>
      <c r="N6" s="165"/>
      <c r="O6" s="9"/>
      <c r="P6" s="9"/>
      <c r="Q6" s="165"/>
      <c r="R6" s="288" t="s">
        <v>99</v>
      </c>
      <c r="S6" s="288"/>
      <c r="T6" s="288"/>
    </row>
    <row r="7" ht="15.75" hidden="1"/>
    <row r="8" spans="6:20" ht="65.25" customHeight="1">
      <c r="F8" s="292" t="s">
        <v>299</v>
      </c>
      <c r="G8" s="292"/>
      <c r="H8" s="292"/>
      <c r="I8" s="167"/>
      <c r="J8" s="167"/>
      <c r="K8" s="167"/>
      <c r="L8" s="220"/>
      <c r="M8" s="254" t="s">
        <v>0</v>
      </c>
      <c r="N8" s="254"/>
      <c r="O8" s="254"/>
      <c r="P8" s="254"/>
      <c r="Q8" s="254"/>
      <c r="R8" s="254"/>
      <c r="S8" s="254"/>
      <c r="T8" s="71"/>
    </row>
    <row r="9" spans="4:20" ht="15.75" customHeight="1">
      <c r="D9" s="50"/>
      <c r="E9" s="248"/>
      <c r="F9" s="305" t="s">
        <v>71</v>
      </c>
      <c r="G9" s="306"/>
      <c r="H9" s="306"/>
      <c r="I9" s="167"/>
      <c r="J9" s="167"/>
      <c r="K9" s="167"/>
      <c r="L9" s="220"/>
      <c r="M9" s="148"/>
      <c r="N9" s="148"/>
      <c r="O9" s="148"/>
      <c r="P9" s="148"/>
      <c r="Q9" s="148"/>
      <c r="R9" s="148"/>
      <c r="S9" s="148"/>
      <c r="T9" s="71"/>
    </row>
    <row r="10" ht="27.75" customHeight="1" hidden="1"/>
    <row r="11" spans="4:23" ht="35.25" customHeight="1">
      <c r="D11" s="4" t="s">
        <v>292</v>
      </c>
      <c r="F11" s="249" t="s">
        <v>293</v>
      </c>
      <c r="I11" s="165"/>
      <c r="J11" s="165"/>
      <c r="K11" s="165"/>
      <c r="L11" s="221"/>
      <c r="M11" s="261" t="s">
        <v>1</v>
      </c>
      <c r="N11" s="261"/>
      <c r="O11" s="261"/>
      <c r="P11" s="261"/>
      <c r="Q11" s="261"/>
      <c r="R11" s="261"/>
      <c r="S11" s="261"/>
      <c r="T11" s="261"/>
      <c r="W11" s="123"/>
    </row>
    <row r="12" spans="3:21" ht="21" customHeight="1">
      <c r="C12" s="290" t="s">
        <v>295</v>
      </c>
      <c r="D12" s="291"/>
      <c r="E12" s="29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50"/>
    </row>
    <row r="13" spans="3:20" ht="18" customHeight="1">
      <c r="C13" s="289" t="s">
        <v>294</v>
      </c>
      <c r="D13" s="254"/>
      <c r="E13" s="254"/>
      <c r="F13" s="254"/>
      <c r="G13" s="148"/>
      <c r="H13" s="148"/>
      <c r="I13" s="101"/>
      <c r="J13" s="101"/>
      <c r="K13" s="101"/>
      <c r="L13" s="126"/>
      <c r="M13" s="293" t="s">
        <v>3</v>
      </c>
      <c r="N13" s="293"/>
      <c r="O13" s="293"/>
      <c r="P13" s="293"/>
      <c r="Q13" s="293"/>
      <c r="R13" s="293"/>
      <c r="S13" s="293"/>
      <c r="T13" s="293"/>
    </row>
    <row r="14" spans="3:18" ht="0.75" customHeight="1">
      <c r="C14" s="252"/>
      <c r="D14" s="252"/>
      <c r="E14" s="252"/>
      <c r="F14" s="252"/>
      <c r="G14" s="2"/>
      <c r="H14" s="2"/>
      <c r="I14" s="101"/>
      <c r="J14" s="101"/>
      <c r="K14" s="101"/>
      <c r="L14" s="221"/>
      <c r="M14" s="289"/>
      <c r="N14" s="289"/>
      <c r="O14" s="289"/>
      <c r="P14" s="167"/>
      <c r="Q14" s="167"/>
      <c r="R14" s="222"/>
    </row>
    <row r="15" spans="2:20" ht="25.5" customHeight="1">
      <c r="B15" s="303" t="s">
        <v>291</v>
      </c>
      <c r="C15" s="304"/>
      <c r="D15" s="304"/>
      <c r="E15" s="304"/>
      <c r="F15" s="304"/>
      <c r="G15" s="304"/>
      <c r="H15" s="304"/>
      <c r="I15" s="304"/>
      <c r="J15" s="304"/>
      <c r="K15" s="78"/>
      <c r="L15" s="223"/>
      <c r="M15" s="311"/>
      <c r="N15" s="311"/>
      <c r="O15" s="311"/>
      <c r="P15" s="235"/>
      <c r="Q15" s="235"/>
      <c r="R15" s="170"/>
      <c r="S15" s="310" t="s">
        <v>104</v>
      </c>
      <c r="T15" s="310"/>
    </row>
    <row r="16" spans="3:19" ht="6.75" customHeight="1" hidden="1">
      <c r="C16" s="294"/>
      <c r="D16" s="294"/>
      <c r="E16" s="294"/>
      <c r="F16" s="294"/>
      <c r="G16" s="294"/>
      <c r="H16" s="294"/>
      <c r="I16" s="294"/>
      <c r="J16" s="294"/>
      <c r="K16" s="151"/>
      <c r="L16" s="101"/>
      <c r="M16" s="101"/>
      <c r="N16" s="101"/>
      <c r="O16" s="101" t="s">
        <v>75</v>
      </c>
      <c r="P16" s="101"/>
      <c r="Q16" s="101"/>
      <c r="R16" s="302"/>
      <c r="S16" s="302"/>
    </row>
    <row r="17" spans="2:19" ht="19.5" customHeight="1">
      <c r="B17" s="297" t="s">
        <v>288</v>
      </c>
      <c r="C17" s="298"/>
      <c r="D17" s="298"/>
      <c r="E17" s="298"/>
      <c r="F17" s="298"/>
      <c r="G17" s="56"/>
      <c r="H17" s="56"/>
      <c r="I17" s="56"/>
      <c r="J17" s="151"/>
      <c r="K17" s="151"/>
      <c r="L17" s="78"/>
      <c r="M17" s="301"/>
      <c r="N17" s="301"/>
      <c r="O17" s="78"/>
      <c r="P17" s="78"/>
      <c r="Q17" s="78"/>
      <c r="R17" s="78"/>
      <c r="S17" s="243"/>
    </row>
    <row r="18" spans="3:20" ht="16.5" customHeight="1">
      <c r="C18" s="295" t="s">
        <v>296</v>
      </c>
      <c r="D18" s="296"/>
      <c r="E18" s="296"/>
      <c r="F18" s="29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6"/>
    </row>
    <row r="19" spans="6:8" ht="15.75">
      <c r="F19" s="225"/>
      <c r="G19" s="225"/>
      <c r="H19" s="225"/>
    </row>
    <row r="20" spans="2:20" ht="24" customHeight="1">
      <c r="B20" s="266" t="s">
        <v>9</v>
      </c>
      <c r="C20" s="268" t="s">
        <v>98</v>
      </c>
      <c r="D20" s="233"/>
      <c r="E20" s="17"/>
      <c r="F20" s="299" t="s">
        <v>56</v>
      </c>
      <c r="G20" s="236"/>
      <c r="H20" s="236"/>
      <c r="I20" s="299" t="s">
        <v>57</v>
      </c>
      <c r="J20" s="228"/>
      <c r="K20" s="240"/>
      <c r="L20" s="307" t="s">
        <v>63</v>
      </c>
      <c r="M20" s="308"/>
      <c r="N20" s="308"/>
      <c r="O20" s="309"/>
      <c r="P20" s="244"/>
      <c r="Q20" s="245"/>
      <c r="R20" s="317" t="s">
        <v>286</v>
      </c>
      <c r="S20" s="299" t="s">
        <v>64</v>
      </c>
      <c r="T20" s="256" t="s">
        <v>65</v>
      </c>
    </row>
    <row r="21" spans="2:20" ht="83.25" customHeight="1">
      <c r="B21" s="267"/>
      <c r="C21" s="269"/>
      <c r="D21" s="234"/>
      <c r="E21" s="21"/>
      <c r="F21" s="300"/>
      <c r="G21" s="92"/>
      <c r="H21" s="92">
        <f>1921/1762</f>
        <v>1.090238365493757</v>
      </c>
      <c r="I21" s="300"/>
      <c r="J21" s="92" t="s">
        <v>281</v>
      </c>
      <c r="K21" s="241" t="s">
        <v>287</v>
      </c>
      <c r="L21" s="93" t="s">
        <v>149</v>
      </c>
      <c r="M21" s="93" t="s">
        <v>150</v>
      </c>
      <c r="N21" s="232" t="s">
        <v>284</v>
      </c>
      <c r="O21" s="93" t="s">
        <v>25</v>
      </c>
      <c r="P21" s="241" t="s">
        <v>290</v>
      </c>
      <c r="Q21" s="246"/>
      <c r="R21" s="318"/>
      <c r="S21" s="300"/>
      <c r="T21" s="257"/>
    </row>
    <row r="22" spans="2:20" ht="19.5" customHeight="1">
      <c r="B22" s="58">
        <v>1</v>
      </c>
      <c r="C22" s="59" t="s">
        <v>289</v>
      </c>
      <c r="D22" s="59"/>
      <c r="E22" s="60"/>
      <c r="F22" s="58">
        <v>1</v>
      </c>
      <c r="G22" s="238">
        <v>2379</v>
      </c>
      <c r="H22" s="238">
        <f>G22*1.090238</f>
        <v>2593.676202</v>
      </c>
      <c r="I22" s="229">
        <v>2594</v>
      </c>
      <c r="J22" s="62"/>
      <c r="K22" s="239">
        <f>I22+J22</f>
        <v>2594</v>
      </c>
      <c r="L22" s="62"/>
      <c r="M22" s="62"/>
      <c r="N22" s="62">
        <f>I22*0.5</f>
        <v>1297</v>
      </c>
      <c r="O22" s="62"/>
      <c r="P22" s="70">
        <f>I22+J22+L22+M22+N22+O22</f>
        <v>3891</v>
      </c>
      <c r="Q22" s="62">
        <f>4173*F22</f>
        <v>4173</v>
      </c>
      <c r="R22" s="62">
        <f>Q22-K22-L22-M22-N22</f>
        <v>282</v>
      </c>
      <c r="S22" s="62">
        <f>I22+L22+N22+O22+R22</f>
        <v>4173</v>
      </c>
      <c r="T22" s="65">
        <f aca="true" t="shared" si="0" ref="T22:T32">S22*12</f>
        <v>50076</v>
      </c>
    </row>
    <row r="23" spans="2:20" ht="19.5" customHeight="1">
      <c r="B23" s="58">
        <f>B22+1</f>
        <v>2</v>
      </c>
      <c r="C23" s="59" t="s">
        <v>23</v>
      </c>
      <c r="D23" s="242"/>
      <c r="E23" s="60"/>
      <c r="F23" s="58">
        <v>1</v>
      </c>
      <c r="G23" s="238">
        <v>2379</v>
      </c>
      <c r="H23" s="238">
        <f aca="true" t="shared" si="1" ref="H23:H44">G23*1.090238</f>
        <v>2593.676202</v>
      </c>
      <c r="I23" s="229">
        <v>2594</v>
      </c>
      <c r="J23" s="62"/>
      <c r="K23" s="239">
        <f aca="true" t="shared" si="2" ref="K23:K44">I23+J23</f>
        <v>2594</v>
      </c>
      <c r="L23" s="62"/>
      <c r="M23" s="62"/>
      <c r="N23" s="62">
        <f aca="true" t="shared" si="3" ref="N23:N32">I23*0.5</f>
        <v>1297</v>
      </c>
      <c r="O23" s="62"/>
      <c r="P23" s="70">
        <f aca="true" t="shared" si="4" ref="P23:P44">I23+J23+L23+M23+N23+O23</f>
        <v>3891</v>
      </c>
      <c r="Q23" s="239">
        <f aca="true" t="shared" si="5" ref="Q23:Q44">4173*F23</f>
        <v>4173</v>
      </c>
      <c r="R23" s="62">
        <f aca="true" t="shared" si="6" ref="R23:R44">Q23-K23-L23-M23-N23</f>
        <v>282</v>
      </c>
      <c r="S23" s="62">
        <f>I23+L23+N23+O23+R23</f>
        <v>4173</v>
      </c>
      <c r="T23" s="65">
        <f t="shared" si="0"/>
        <v>50076</v>
      </c>
    </row>
    <row r="24" spans="2:20" ht="19.5" customHeight="1">
      <c r="B24" s="58">
        <f aca="true" t="shared" si="7" ref="B24:B30">B23+1</f>
        <v>3</v>
      </c>
      <c r="C24" s="59" t="s">
        <v>275</v>
      </c>
      <c r="D24" s="59"/>
      <c r="E24" s="60"/>
      <c r="F24" s="58">
        <v>0.5</v>
      </c>
      <c r="G24" s="238">
        <v>2379</v>
      </c>
      <c r="H24" s="238">
        <f t="shared" si="1"/>
        <v>2593.676202</v>
      </c>
      <c r="I24" s="229">
        <v>1297</v>
      </c>
      <c r="J24" s="62"/>
      <c r="K24" s="239">
        <f t="shared" si="2"/>
        <v>1297</v>
      </c>
      <c r="L24" s="62"/>
      <c r="M24" s="62"/>
      <c r="N24" s="62">
        <f t="shared" si="3"/>
        <v>648.5</v>
      </c>
      <c r="O24" s="62"/>
      <c r="P24" s="70">
        <f t="shared" si="4"/>
        <v>1945.5</v>
      </c>
      <c r="Q24" s="239">
        <f t="shared" si="5"/>
        <v>2086.5</v>
      </c>
      <c r="R24" s="62">
        <f t="shared" si="6"/>
        <v>141</v>
      </c>
      <c r="S24" s="62">
        <f>I24+L24+N24+O24+R24</f>
        <v>2086.5</v>
      </c>
      <c r="T24" s="65">
        <f t="shared" si="0"/>
        <v>25038</v>
      </c>
    </row>
    <row r="25" spans="2:20" ht="19.5" customHeight="1">
      <c r="B25" s="58">
        <v>4</v>
      </c>
      <c r="C25" s="59" t="s">
        <v>276</v>
      </c>
      <c r="D25" s="59"/>
      <c r="E25" s="60"/>
      <c r="F25" s="58">
        <v>0.5</v>
      </c>
      <c r="G25" s="238">
        <v>2379</v>
      </c>
      <c r="H25" s="238">
        <f t="shared" si="1"/>
        <v>2593.676202</v>
      </c>
      <c r="I25" s="229">
        <v>1297</v>
      </c>
      <c r="J25" s="62"/>
      <c r="K25" s="239">
        <f t="shared" si="2"/>
        <v>1297</v>
      </c>
      <c r="L25" s="62"/>
      <c r="M25" s="62"/>
      <c r="N25" s="62">
        <f t="shared" si="3"/>
        <v>648.5</v>
      </c>
      <c r="O25" s="62"/>
      <c r="P25" s="70">
        <f t="shared" si="4"/>
        <v>1945.5</v>
      </c>
      <c r="Q25" s="239">
        <f t="shared" si="5"/>
        <v>2086.5</v>
      </c>
      <c r="R25" s="62">
        <f t="shared" si="6"/>
        <v>141</v>
      </c>
      <c r="S25" s="62">
        <f>I25+L25+N25+O25+R25</f>
        <v>2086.5</v>
      </c>
      <c r="T25" s="65">
        <f t="shared" si="0"/>
        <v>25038</v>
      </c>
    </row>
    <row r="26" spans="2:20" ht="19.5" customHeight="1">
      <c r="B26" s="58">
        <f t="shared" si="7"/>
        <v>5</v>
      </c>
      <c r="C26" s="59" t="s">
        <v>21</v>
      </c>
      <c r="D26" s="59"/>
      <c r="E26" s="60"/>
      <c r="F26" s="58">
        <v>1</v>
      </c>
      <c r="G26" s="238">
        <v>2172</v>
      </c>
      <c r="H26" s="238">
        <f t="shared" si="1"/>
        <v>2367.996936</v>
      </c>
      <c r="I26" s="229">
        <f>H26*F26</f>
        <v>2367.996936</v>
      </c>
      <c r="J26" s="62"/>
      <c r="K26" s="239">
        <f t="shared" si="2"/>
        <v>2367.996936</v>
      </c>
      <c r="L26" s="62">
        <f>I26*25/100</f>
        <v>591.999234</v>
      </c>
      <c r="M26" s="62">
        <f>I26*25%</f>
        <v>591.999234</v>
      </c>
      <c r="N26" s="62">
        <f t="shared" si="3"/>
        <v>1183.998468</v>
      </c>
      <c r="O26" s="62"/>
      <c r="P26" s="70">
        <f t="shared" si="4"/>
        <v>4735.993872</v>
      </c>
      <c r="Q26" s="239">
        <f t="shared" si="5"/>
        <v>4173</v>
      </c>
      <c r="R26" s="62"/>
      <c r="S26" s="62">
        <f>I26+J26+L26+M26+N26+0.01</f>
        <v>4736.003872</v>
      </c>
      <c r="T26" s="65">
        <f t="shared" si="0"/>
        <v>56832.046464</v>
      </c>
    </row>
    <row r="27" spans="2:20" ht="19.5" customHeight="1">
      <c r="B27" s="58">
        <f t="shared" si="7"/>
        <v>6</v>
      </c>
      <c r="C27" s="59" t="s">
        <v>21</v>
      </c>
      <c r="D27" s="59"/>
      <c r="E27" s="60"/>
      <c r="F27" s="58">
        <v>1</v>
      </c>
      <c r="G27" s="238">
        <v>2172</v>
      </c>
      <c r="H27" s="238">
        <f t="shared" si="1"/>
        <v>2367.996936</v>
      </c>
      <c r="I27" s="229">
        <f>H27*F27</f>
        <v>2367.996936</v>
      </c>
      <c r="J27" s="62"/>
      <c r="K27" s="239">
        <f t="shared" si="2"/>
        <v>2367.996936</v>
      </c>
      <c r="L27" s="62"/>
      <c r="M27" s="62"/>
      <c r="N27" s="62">
        <f t="shared" si="3"/>
        <v>1183.998468</v>
      </c>
      <c r="O27" s="62"/>
      <c r="P27" s="70">
        <f t="shared" si="4"/>
        <v>3551.9954040000002</v>
      </c>
      <c r="Q27" s="239">
        <f t="shared" si="5"/>
        <v>4173</v>
      </c>
      <c r="R27" s="62">
        <f t="shared" si="6"/>
        <v>621.004596</v>
      </c>
      <c r="S27" s="62">
        <f aca="true" t="shared" si="8" ref="S27:S38">I27+L27+N27+O27+R27</f>
        <v>4173</v>
      </c>
      <c r="T27" s="65">
        <f t="shared" si="0"/>
        <v>50076</v>
      </c>
    </row>
    <row r="28" spans="2:20" ht="19.5" customHeight="1">
      <c r="B28" s="58">
        <f t="shared" si="7"/>
        <v>7</v>
      </c>
      <c r="C28" s="64" t="s">
        <v>282</v>
      </c>
      <c r="D28" s="32"/>
      <c r="E28" s="25"/>
      <c r="F28" s="87">
        <v>0.5</v>
      </c>
      <c r="G28" s="238">
        <v>2156</v>
      </c>
      <c r="H28" s="238">
        <f t="shared" si="1"/>
        <v>2350.553128</v>
      </c>
      <c r="I28" s="229">
        <v>1175.5</v>
      </c>
      <c r="J28" s="62"/>
      <c r="K28" s="239">
        <f t="shared" si="2"/>
        <v>1175.5</v>
      </c>
      <c r="L28" s="65"/>
      <c r="M28" s="65"/>
      <c r="N28" s="62">
        <f t="shared" si="3"/>
        <v>587.75</v>
      </c>
      <c r="O28" s="65"/>
      <c r="P28" s="70">
        <f t="shared" si="4"/>
        <v>1763.25</v>
      </c>
      <c r="Q28" s="239">
        <f t="shared" si="5"/>
        <v>2086.5</v>
      </c>
      <c r="R28" s="62">
        <f t="shared" si="6"/>
        <v>323.25</v>
      </c>
      <c r="S28" s="62">
        <f t="shared" si="8"/>
        <v>2086.5</v>
      </c>
      <c r="T28" s="65">
        <f t="shared" si="0"/>
        <v>25038</v>
      </c>
    </row>
    <row r="29" spans="2:20" ht="19.5" customHeight="1">
      <c r="B29" s="58">
        <f t="shared" si="7"/>
        <v>8</v>
      </c>
      <c r="C29" s="59" t="s">
        <v>33</v>
      </c>
      <c r="D29" s="59"/>
      <c r="E29" s="60"/>
      <c r="F29" s="58">
        <v>1</v>
      </c>
      <c r="G29" s="238">
        <v>2156</v>
      </c>
      <c r="H29" s="238">
        <f t="shared" si="1"/>
        <v>2350.553128</v>
      </c>
      <c r="I29" s="229">
        <v>2351</v>
      </c>
      <c r="J29" s="62"/>
      <c r="K29" s="239">
        <f t="shared" si="2"/>
        <v>2351</v>
      </c>
      <c r="L29" s="62"/>
      <c r="M29" s="62"/>
      <c r="N29" s="62">
        <f t="shared" si="3"/>
        <v>1175.5</v>
      </c>
      <c r="O29" s="62"/>
      <c r="P29" s="70">
        <f t="shared" si="4"/>
        <v>3526.5</v>
      </c>
      <c r="Q29" s="239">
        <f t="shared" si="5"/>
        <v>4173</v>
      </c>
      <c r="R29" s="62">
        <f t="shared" si="6"/>
        <v>646.5</v>
      </c>
      <c r="S29" s="62">
        <f t="shared" si="8"/>
        <v>4173</v>
      </c>
      <c r="T29" s="65">
        <f t="shared" si="0"/>
        <v>50076</v>
      </c>
    </row>
    <row r="30" spans="2:20" ht="19.5" customHeight="1">
      <c r="B30" s="58">
        <f t="shared" si="7"/>
        <v>9</v>
      </c>
      <c r="C30" s="59" t="s">
        <v>33</v>
      </c>
      <c r="D30" s="59"/>
      <c r="E30" s="60"/>
      <c r="F30" s="58">
        <v>1</v>
      </c>
      <c r="G30" s="238">
        <v>2156</v>
      </c>
      <c r="H30" s="238">
        <f t="shared" si="1"/>
        <v>2350.553128</v>
      </c>
      <c r="I30" s="229">
        <v>2351</v>
      </c>
      <c r="J30" s="62"/>
      <c r="K30" s="239">
        <f t="shared" si="2"/>
        <v>2351</v>
      </c>
      <c r="L30" s="62"/>
      <c r="M30" s="62"/>
      <c r="N30" s="62">
        <f t="shared" si="3"/>
        <v>1175.5</v>
      </c>
      <c r="O30" s="62"/>
      <c r="P30" s="70">
        <f t="shared" si="4"/>
        <v>3526.5</v>
      </c>
      <c r="Q30" s="239">
        <f t="shared" si="5"/>
        <v>4173</v>
      </c>
      <c r="R30" s="62">
        <f t="shared" si="6"/>
        <v>646.5</v>
      </c>
      <c r="S30" s="62">
        <f t="shared" si="8"/>
        <v>4173</v>
      </c>
      <c r="T30" s="65">
        <f t="shared" si="0"/>
        <v>50076</v>
      </c>
    </row>
    <row r="31" spans="2:20" ht="19.5" customHeight="1">
      <c r="B31" s="58">
        <f>B30+1</f>
        <v>10</v>
      </c>
      <c r="C31" s="59" t="s">
        <v>41</v>
      </c>
      <c r="D31" s="59"/>
      <c r="E31" s="60"/>
      <c r="F31" s="58">
        <v>0.5</v>
      </c>
      <c r="G31" s="238">
        <v>3323</v>
      </c>
      <c r="H31" s="247">
        <f>G31*F31</f>
        <v>1661.5</v>
      </c>
      <c r="I31" s="229">
        <v>1661.5</v>
      </c>
      <c r="J31" s="62"/>
      <c r="K31" s="239">
        <f t="shared" si="2"/>
        <v>1661.5</v>
      </c>
      <c r="L31" s="62"/>
      <c r="M31" s="62"/>
      <c r="N31" s="62">
        <f t="shared" si="3"/>
        <v>830.75</v>
      </c>
      <c r="O31" s="62"/>
      <c r="P31" s="70">
        <f t="shared" si="4"/>
        <v>2492.25</v>
      </c>
      <c r="Q31" s="239">
        <f t="shared" si="5"/>
        <v>2086.5</v>
      </c>
      <c r="R31" s="62"/>
      <c r="S31" s="62">
        <f t="shared" si="8"/>
        <v>2492.25</v>
      </c>
      <c r="T31" s="65">
        <f t="shared" si="0"/>
        <v>29907</v>
      </c>
    </row>
    <row r="32" spans="2:20" ht="19.5" customHeight="1">
      <c r="B32" s="58">
        <f aca="true" t="shared" si="9" ref="B32:B44">B31+1</f>
        <v>11</v>
      </c>
      <c r="C32" s="59" t="s">
        <v>297</v>
      </c>
      <c r="D32" s="59"/>
      <c r="E32" s="60"/>
      <c r="F32" s="58">
        <v>1</v>
      </c>
      <c r="G32" s="238">
        <v>2156</v>
      </c>
      <c r="H32" s="238">
        <f t="shared" si="1"/>
        <v>2350.553128</v>
      </c>
      <c r="I32" s="229">
        <v>2351</v>
      </c>
      <c r="J32" s="62"/>
      <c r="K32" s="239">
        <f t="shared" si="2"/>
        <v>2351</v>
      </c>
      <c r="L32" s="62"/>
      <c r="M32" s="62"/>
      <c r="N32" s="62">
        <f t="shared" si="3"/>
        <v>1175.5</v>
      </c>
      <c r="O32" s="62"/>
      <c r="P32" s="70">
        <f t="shared" si="4"/>
        <v>3526.5</v>
      </c>
      <c r="Q32" s="239">
        <f t="shared" si="5"/>
        <v>4173</v>
      </c>
      <c r="R32" s="62">
        <f>Q32-K32-L32-M32-N32</f>
        <v>646.5</v>
      </c>
      <c r="S32" s="62">
        <f>I32+L32+N32+O32+R32</f>
        <v>4173</v>
      </c>
      <c r="T32" s="65">
        <f t="shared" si="0"/>
        <v>50076</v>
      </c>
    </row>
    <row r="33" spans="2:20" ht="19.5" customHeight="1">
      <c r="B33" s="58">
        <f t="shared" si="9"/>
        <v>12</v>
      </c>
      <c r="C33" s="59" t="s">
        <v>22</v>
      </c>
      <c r="D33" s="59"/>
      <c r="E33" s="60"/>
      <c r="F33" s="58">
        <v>1</v>
      </c>
      <c r="G33" s="238">
        <v>2156</v>
      </c>
      <c r="H33" s="238">
        <f t="shared" si="1"/>
        <v>2350.553128</v>
      </c>
      <c r="I33" s="229">
        <v>2351</v>
      </c>
      <c r="J33" s="62"/>
      <c r="K33" s="239">
        <f t="shared" si="2"/>
        <v>2351</v>
      </c>
      <c r="L33" s="62"/>
      <c r="M33" s="62"/>
      <c r="N33" s="62"/>
      <c r="O33" s="62">
        <f>I33*0.1</f>
        <v>235.10000000000002</v>
      </c>
      <c r="P33" s="70">
        <f t="shared" si="4"/>
        <v>2586.1</v>
      </c>
      <c r="Q33" s="239">
        <f t="shared" si="5"/>
        <v>4173</v>
      </c>
      <c r="R33" s="62">
        <f t="shared" si="6"/>
        <v>1822</v>
      </c>
      <c r="S33" s="62">
        <f t="shared" si="8"/>
        <v>4408.1</v>
      </c>
      <c r="T33" s="65">
        <f aca="true" t="shared" si="10" ref="T33:T44">S33*12</f>
        <v>52897.200000000004</v>
      </c>
    </row>
    <row r="34" spans="2:20" ht="19.5" customHeight="1">
      <c r="B34" s="58">
        <f t="shared" si="9"/>
        <v>13</v>
      </c>
      <c r="C34" s="59" t="s">
        <v>22</v>
      </c>
      <c r="D34" s="59"/>
      <c r="E34" s="60"/>
      <c r="F34" s="58">
        <v>1</v>
      </c>
      <c r="G34" s="238">
        <v>2156</v>
      </c>
      <c r="H34" s="238">
        <f t="shared" si="1"/>
        <v>2350.553128</v>
      </c>
      <c r="I34" s="229">
        <v>2351</v>
      </c>
      <c r="J34" s="62"/>
      <c r="K34" s="239">
        <f t="shared" si="2"/>
        <v>2351</v>
      </c>
      <c r="L34" s="62"/>
      <c r="M34" s="62"/>
      <c r="N34" s="62"/>
      <c r="O34" s="62">
        <f>I34*0.1</f>
        <v>235.10000000000002</v>
      </c>
      <c r="P34" s="70">
        <f t="shared" si="4"/>
        <v>2586.1</v>
      </c>
      <c r="Q34" s="239">
        <f t="shared" si="5"/>
        <v>4173</v>
      </c>
      <c r="R34" s="62">
        <f t="shared" si="6"/>
        <v>1822</v>
      </c>
      <c r="S34" s="62">
        <f t="shared" si="8"/>
        <v>4408.1</v>
      </c>
      <c r="T34" s="65">
        <f t="shared" si="10"/>
        <v>52897.200000000004</v>
      </c>
    </row>
    <row r="35" spans="2:20" ht="27.75" customHeight="1">
      <c r="B35" s="58">
        <f t="shared" si="9"/>
        <v>14</v>
      </c>
      <c r="C35" s="59" t="s">
        <v>277</v>
      </c>
      <c r="D35" s="59"/>
      <c r="E35" s="60"/>
      <c r="F35" s="58">
        <v>1</v>
      </c>
      <c r="G35" s="238">
        <v>2156</v>
      </c>
      <c r="H35" s="238">
        <f t="shared" si="1"/>
        <v>2350.553128</v>
      </c>
      <c r="I35" s="229">
        <v>2351</v>
      </c>
      <c r="J35" s="62"/>
      <c r="K35" s="239">
        <f t="shared" si="2"/>
        <v>2351</v>
      </c>
      <c r="L35" s="62"/>
      <c r="M35" s="62"/>
      <c r="N35" s="62"/>
      <c r="O35" s="62"/>
      <c r="P35" s="70">
        <f t="shared" si="4"/>
        <v>2351</v>
      </c>
      <c r="Q35" s="239">
        <f t="shared" si="5"/>
        <v>4173</v>
      </c>
      <c r="R35" s="62">
        <f t="shared" si="6"/>
        <v>1822</v>
      </c>
      <c r="S35" s="62">
        <f t="shared" si="8"/>
        <v>4173</v>
      </c>
      <c r="T35" s="65">
        <f t="shared" si="10"/>
        <v>50076</v>
      </c>
    </row>
    <row r="36" spans="2:20" ht="19.5" customHeight="1">
      <c r="B36" s="58">
        <f t="shared" si="9"/>
        <v>15</v>
      </c>
      <c r="C36" s="59" t="s">
        <v>50</v>
      </c>
      <c r="D36" s="59"/>
      <c r="E36" s="231">
        <v>43378</v>
      </c>
      <c r="F36" s="58">
        <v>1</v>
      </c>
      <c r="G36" s="238">
        <v>2156</v>
      </c>
      <c r="H36" s="238">
        <f t="shared" si="1"/>
        <v>2350.553128</v>
      </c>
      <c r="I36" s="229">
        <v>2351</v>
      </c>
      <c r="J36" s="62"/>
      <c r="K36" s="239">
        <f t="shared" si="2"/>
        <v>2351</v>
      </c>
      <c r="L36" s="62"/>
      <c r="M36" s="62"/>
      <c r="N36" s="62"/>
      <c r="O36" s="62"/>
      <c r="P36" s="70">
        <f t="shared" si="4"/>
        <v>2351</v>
      </c>
      <c r="Q36" s="239">
        <f t="shared" si="5"/>
        <v>4173</v>
      </c>
      <c r="R36" s="62">
        <f t="shared" si="6"/>
        <v>1822</v>
      </c>
      <c r="S36" s="62">
        <f t="shared" si="8"/>
        <v>4173</v>
      </c>
      <c r="T36" s="65">
        <f>S36*12</f>
        <v>50076</v>
      </c>
    </row>
    <row r="37" spans="2:20" ht="19.5" customHeight="1">
      <c r="B37" s="58">
        <f t="shared" si="9"/>
        <v>16</v>
      </c>
      <c r="C37" s="59" t="s">
        <v>278</v>
      </c>
      <c r="D37" s="59"/>
      <c r="E37" s="60"/>
      <c r="F37" s="58">
        <v>1</v>
      </c>
      <c r="G37" s="238">
        <v>2156</v>
      </c>
      <c r="H37" s="238">
        <f t="shared" si="1"/>
        <v>2350.553128</v>
      </c>
      <c r="I37" s="229">
        <v>2351</v>
      </c>
      <c r="J37" s="62"/>
      <c r="K37" s="239">
        <f t="shared" si="2"/>
        <v>2351</v>
      </c>
      <c r="L37" s="62"/>
      <c r="M37" s="62"/>
      <c r="N37" s="62"/>
      <c r="O37" s="62"/>
      <c r="P37" s="70">
        <f t="shared" si="4"/>
        <v>2351</v>
      </c>
      <c r="Q37" s="239">
        <f t="shared" si="5"/>
        <v>4173</v>
      </c>
      <c r="R37" s="62">
        <f t="shared" si="6"/>
        <v>1822</v>
      </c>
      <c r="S37" s="62">
        <f t="shared" si="8"/>
        <v>4173</v>
      </c>
      <c r="T37" s="65">
        <f t="shared" si="10"/>
        <v>50076</v>
      </c>
    </row>
    <row r="38" spans="2:20" ht="19.5" customHeight="1">
      <c r="B38" s="58">
        <f t="shared" si="9"/>
        <v>17</v>
      </c>
      <c r="C38" s="59" t="s">
        <v>279</v>
      </c>
      <c r="D38" s="59"/>
      <c r="E38" s="60"/>
      <c r="F38" s="58">
        <v>1</v>
      </c>
      <c r="G38" s="238">
        <v>2156</v>
      </c>
      <c r="H38" s="238">
        <f t="shared" si="1"/>
        <v>2350.553128</v>
      </c>
      <c r="I38" s="229">
        <v>2351</v>
      </c>
      <c r="J38" s="62"/>
      <c r="K38" s="239">
        <f t="shared" si="2"/>
        <v>2351</v>
      </c>
      <c r="L38" s="62"/>
      <c r="M38" s="62"/>
      <c r="N38" s="62"/>
      <c r="O38" s="62"/>
      <c r="P38" s="70">
        <f t="shared" si="4"/>
        <v>2351</v>
      </c>
      <c r="Q38" s="239">
        <f t="shared" si="5"/>
        <v>4173</v>
      </c>
      <c r="R38" s="62">
        <f t="shared" si="6"/>
        <v>1822</v>
      </c>
      <c r="S38" s="62">
        <f t="shared" si="8"/>
        <v>4173</v>
      </c>
      <c r="T38" s="65">
        <f t="shared" si="10"/>
        <v>50076</v>
      </c>
    </row>
    <row r="39" spans="2:20" ht="19.5" customHeight="1">
      <c r="B39" s="58">
        <f t="shared" si="9"/>
        <v>18</v>
      </c>
      <c r="C39" s="59" t="s">
        <v>280</v>
      </c>
      <c r="D39" s="242"/>
      <c r="E39" s="230"/>
      <c r="F39" s="58">
        <v>1</v>
      </c>
      <c r="G39" s="238">
        <v>2156</v>
      </c>
      <c r="H39" s="238">
        <f t="shared" si="1"/>
        <v>2350.553128</v>
      </c>
      <c r="I39" s="229">
        <v>2351</v>
      </c>
      <c r="J39" s="62">
        <f>I39*0.25</f>
        <v>587.75</v>
      </c>
      <c r="K39" s="239">
        <f>I39+J39</f>
        <v>2938.75</v>
      </c>
      <c r="L39" s="62"/>
      <c r="M39" s="62"/>
      <c r="N39" s="62"/>
      <c r="O39" s="62"/>
      <c r="P39" s="70">
        <f>I39+J39</f>
        <v>2938.75</v>
      </c>
      <c r="Q39" s="239">
        <f>4173*F39</f>
        <v>4173</v>
      </c>
      <c r="R39" s="62">
        <f>Q39-P39</f>
        <v>1234.25</v>
      </c>
      <c r="S39" s="62">
        <f>I39+L39+N39+O39+R39+J39</f>
        <v>4173</v>
      </c>
      <c r="T39" s="65">
        <f t="shared" si="10"/>
        <v>50076</v>
      </c>
    </row>
    <row r="40" spans="2:20" ht="19.5" customHeight="1">
      <c r="B40" s="58">
        <f t="shared" si="9"/>
        <v>19</v>
      </c>
      <c r="C40" s="59" t="s">
        <v>280</v>
      </c>
      <c r="D40" s="242"/>
      <c r="E40" s="230"/>
      <c r="F40" s="58">
        <v>1</v>
      </c>
      <c r="G40" s="238">
        <v>2156</v>
      </c>
      <c r="H40" s="238">
        <f t="shared" si="1"/>
        <v>2350.553128</v>
      </c>
      <c r="I40" s="229">
        <v>2351</v>
      </c>
      <c r="J40" s="62">
        <f>I40*0.25</f>
        <v>587.75</v>
      </c>
      <c r="K40" s="239">
        <f>I40+J40</f>
        <v>2938.75</v>
      </c>
      <c r="L40" s="62"/>
      <c r="M40" s="62"/>
      <c r="N40" s="62"/>
      <c r="O40" s="62"/>
      <c r="P40" s="70">
        <f t="shared" si="4"/>
        <v>2938.75</v>
      </c>
      <c r="Q40" s="239">
        <f>4173*F40</f>
        <v>4173</v>
      </c>
      <c r="R40" s="62">
        <f>Q40-P40</f>
        <v>1234.25</v>
      </c>
      <c r="S40" s="62">
        <f>I40+L40+N40+O40+R40+J40</f>
        <v>4173</v>
      </c>
      <c r="T40" s="65">
        <f t="shared" si="10"/>
        <v>50076</v>
      </c>
    </row>
    <row r="41" spans="2:20" ht="19.5" customHeight="1">
      <c r="B41" s="58">
        <f t="shared" si="9"/>
        <v>20</v>
      </c>
      <c r="C41" s="59" t="s">
        <v>280</v>
      </c>
      <c r="D41" s="242"/>
      <c r="E41" s="230"/>
      <c r="F41" s="58">
        <v>1</v>
      </c>
      <c r="G41" s="238">
        <v>2156</v>
      </c>
      <c r="H41" s="238">
        <f t="shared" si="1"/>
        <v>2350.553128</v>
      </c>
      <c r="I41" s="229">
        <v>2351</v>
      </c>
      <c r="J41" s="62">
        <f>I41*0.25</f>
        <v>587.75</v>
      </c>
      <c r="K41" s="239">
        <f t="shared" si="2"/>
        <v>2938.75</v>
      </c>
      <c r="L41" s="62"/>
      <c r="M41" s="62"/>
      <c r="N41" s="62"/>
      <c r="O41" s="62"/>
      <c r="P41" s="70">
        <f t="shared" si="4"/>
        <v>2938.75</v>
      </c>
      <c r="Q41" s="239">
        <f t="shared" si="5"/>
        <v>4173</v>
      </c>
      <c r="R41" s="62">
        <f>Q41-P41</f>
        <v>1234.25</v>
      </c>
      <c r="S41" s="62">
        <f>I41+L41+N41+O41+R41+J41</f>
        <v>4173</v>
      </c>
      <c r="T41" s="65">
        <f t="shared" si="10"/>
        <v>50076</v>
      </c>
    </row>
    <row r="42" spans="2:20" ht="19.5" customHeight="1">
      <c r="B42" s="58">
        <f t="shared" si="9"/>
        <v>21</v>
      </c>
      <c r="C42" s="59" t="s">
        <v>285</v>
      </c>
      <c r="D42" s="59"/>
      <c r="E42" s="60"/>
      <c r="F42" s="58">
        <v>1</v>
      </c>
      <c r="G42" s="238">
        <v>2156</v>
      </c>
      <c r="H42" s="238">
        <f t="shared" si="1"/>
        <v>2350.553128</v>
      </c>
      <c r="I42" s="229">
        <v>2351</v>
      </c>
      <c r="J42" s="62"/>
      <c r="K42" s="239">
        <f>I42+J42</f>
        <v>2351</v>
      </c>
      <c r="L42" s="62"/>
      <c r="M42" s="62"/>
      <c r="N42" s="62"/>
      <c r="O42" s="62"/>
      <c r="P42" s="70">
        <f t="shared" si="4"/>
        <v>2351</v>
      </c>
      <c r="Q42" s="239">
        <f>4173*F42</f>
        <v>4173</v>
      </c>
      <c r="R42" s="62">
        <f>Q42-K42-L42-M42-N42</f>
        <v>1822</v>
      </c>
      <c r="S42" s="62">
        <f>I42+L42+N42+O42+R42</f>
        <v>4173</v>
      </c>
      <c r="T42" s="65">
        <f t="shared" si="10"/>
        <v>50076</v>
      </c>
    </row>
    <row r="43" spans="2:20" ht="19.5" customHeight="1">
      <c r="B43" s="58">
        <f t="shared" si="9"/>
        <v>22</v>
      </c>
      <c r="C43" s="59" t="s">
        <v>285</v>
      </c>
      <c r="D43" s="59"/>
      <c r="E43" s="60"/>
      <c r="F43" s="58">
        <v>1</v>
      </c>
      <c r="G43" s="238">
        <v>2156</v>
      </c>
      <c r="H43" s="238">
        <f t="shared" si="1"/>
        <v>2350.553128</v>
      </c>
      <c r="I43" s="229">
        <v>2351</v>
      </c>
      <c r="J43" s="62"/>
      <c r="K43" s="239">
        <f>I43+J43</f>
        <v>2351</v>
      </c>
      <c r="L43" s="62"/>
      <c r="M43" s="62"/>
      <c r="N43" s="62"/>
      <c r="O43" s="62"/>
      <c r="P43" s="70">
        <f t="shared" si="4"/>
        <v>2351</v>
      </c>
      <c r="Q43" s="239">
        <f>4173*F43</f>
        <v>4173</v>
      </c>
      <c r="R43" s="62">
        <f>Q43-K43-L43-M43-N43</f>
        <v>1822</v>
      </c>
      <c r="S43" s="62">
        <f>I43+L43+N43+O43+R43</f>
        <v>4173</v>
      </c>
      <c r="T43" s="65">
        <f t="shared" si="10"/>
        <v>50076</v>
      </c>
    </row>
    <row r="44" spans="2:20" ht="19.5" customHeight="1">
      <c r="B44" s="58">
        <f t="shared" si="9"/>
        <v>23</v>
      </c>
      <c r="C44" s="59" t="s">
        <v>285</v>
      </c>
      <c r="D44" s="59"/>
      <c r="E44" s="60"/>
      <c r="F44" s="58">
        <v>1</v>
      </c>
      <c r="G44" s="238">
        <v>2156</v>
      </c>
      <c r="H44" s="238">
        <f t="shared" si="1"/>
        <v>2350.553128</v>
      </c>
      <c r="I44" s="229">
        <v>2351</v>
      </c>
      <c r="J44" s="62"/>
      <c r="K44" s="239">
        <f t="shared" si="2"/>
        <v>2351</v>
      </c>
      <c r="L44" s="62"/>
      <c r="M44" s="62"/>
      <c r="N44" s="62"/>
      <c r="O44" s="62"/>
      <c r="P44" s="70">
        <f t="shared" si="4"/>
        <v>2351</v>
      </c>
      <c r="Q44" s="239">
        <f t="shared" si="5"/>
        <v>4173</v>
      </c>
      <c r="R44" s="62">
        <f t="shared" si="6"/>
        <v>1822</v>
      </c>
      <c r="S44" s="62">
        <f>I44+L44+N44+O44+R44</f>
        <v>4173</v>
      </c>
      <c r="T44" s="65">
        <f t="shared" si="10"/>
        <v>50076</v>
      </c>
    </row>
    <row r="45" spans="2:20" ht="19.5" customHeight="1">
      <c r="B45" s="64"/>
      <c r="C45" s="67" t="s">
        <v>24</v>
      </c>
      <c r="D45" s="154"/>
      <c r="E45" s="68"/>
      <c r="F45" s="69">
        <f aca="true" t="shared" si="11" ref="F45:T45">SUM(F22:F44)</f>
        <v>21</v>
      </c>
      <c r="G45" s="69"/>
      <c r="H45" s="69"/>
      <c r="I45" s="70">
        <f t="shared" si="11"/>
        <v>50619.993872</v>
      </c>
      <c r="J45" s="70">
        <f t="shared" si="11"/>
        <v>1763.25</v>
      </c>
      <c r="K45" s="70"/>
      <c r="L45" s="70">
        <f t="shared" si="11"/>
        <v>591.999234</v>
      </c>
      <c r="M45" s="70">
        <f t="shared" si="11"/>
        <v>591.999234</v>
      </c>
      <c r="N45" s="70">
        <f t="shared" si="11"/>
        <v>11203.996936</v>
      </c>
      <c r="O45" s="70">
        <f t="shared" si="11"/>
        <v>470.20000000000005</v>
      </c>
      <c r="P45" s="70"/>
      <c r="Q45" s="70"/>
      <c r="R45" s="70">
        <f t="shared" si="11"/>
        <v>23830.504596</v>
      </c>
      <c r="S45" s="70">
        <f t="shared" si="11"/>
        <v>89071.953872</v>
      </c>
      <c r="T45" s="70">
        <f t="shared" si="11"/>
        <v>1068863.446464</v>
      </c>
    </row>
    <row r="46" ht="15.75">
      <c r="S46" s="222"/>
    </row>
    <row r="47" spans="2:20" ht="20.25" customHeight="1">
      <c r="B47" s="290" t="s">
        <v>298</v>
      </c>
      <c r="C47" s="291"/>
      <c r="D47" s="291"/>
      <c r="E47" s="291"/>
      <c r="F47" s="291"/>
      <c r="G47" s="291"/>
      <c r="H47" s="291"/>
      <c r="I47" s="291"/>
      <c r="J47" s="149"/>
      <c r="K47" s="149"/>
      <c r="L47" s="155"/>
      <c r="M47" s="155"/>
      <c r="N47" s="316" t="s">
        <v>283</v>
      </c>
      <c r="O47" s="316"/>
      <c r="P47" s="316"/>
      <c r="Q47" s="316"/>
      <c r="R47" s="316"/>
      <c r="S47" s="226"/>
      <c r="T47" s="71"/>
    </row>
    <row r="48" spans="3:19" ht="6" customHeight="1">
      <c r="C48" s="97"/>
      <c r="D48" s="97"/>
      <c r="E48" s="97"/>
      <c r="F48" s="97"/>
      <c r="G48" s="97"/>
      <c r="H48" s="97"/>
      <c r="I48" s="97"/>
      <c r="J48" s="46"/>
      <c r="K48" s="46"/>
      <c r="L48" s="312" t="s">
        <v>102</v>
      </c>
      <c r="M48" s="312"/>
      <c r="N48" s="314"/>
      <c r="O48" s="314"/>
      <c r="P48" s="237"/>
      <c r="Q48" s="237"/>
      <c r="R48" s="226"/>
      <c r="S48" s="226"/>
    </row>
    <row r="49" spans="3:19" ht="18.75" customHeight="1">
      <c r="C49" s="313"/>
      <c r="D49" s="313"/>
      <c r="E49" s="313"/>
      <c r="F49" s="313"/>
      <c r="G49" s="313"/>
      <c r="H49" s="313"/>
      <c r="I49" s="313"/>
      <c r="J49" s="149"/>
      <c r="K49" s="149"/>
      <c r="L49" s="127"/>
      <c r="M49" s="128"/>
      <c r="N49" s="315" t="s">
        <v>103</v>
      </c>
      <c r="O49" s="315"/>
      <c r="P49" s="315"/>
      <c r="Q49" s="315"/>
      <c r="R49" s="315"/>
      <c r="S49" s="226"/>
    </row>
    <row r="50" spans="3:19" ht="9.75" customHeight="1">
      <c r="C50" s="98"/>
      <c r="D50" s="98"/>
      <c r="E50" s="98"/>
      <c r="F50" s="220"/>
      <c r="G50" s="220"/>
      <c r="H50" s="220"/>
      <c r="I50" s="220"/>
      <c r="J50" s="220"/>
      <c r="K50" s="220"/>
      <c r="L50" s="312" t="s">
        <v>102</v>
      </c>
      <c r="M50" s="312"/>
      <c r="N50" s="314"/>
      <c r="O50" s="314"/>
      <c r="P50" s="237"/>
      <c r="Q50" s="237"/>
      <c r="R50" s="226"/>
      <c r="S50" s="226"/>
    </row>
    <row r="51" spans="3:19" ht="20.25" customHeight="1">
      <c r="C51" s="51"/>
      <c r="F51" s="220"/>
      <c r="G51" s="220"/>
      <c r="H51" s="220"/>
      <c r="I51" s="220"/>
      <c r="J51" s="220"/>
      <c r="K51" s="220"/>
      <c r="L51" s="224" t="s">
        <v>75</v>
      </c>
      <c r="M51" s="226"/>
      <c r="N51" s="226"/>
      <c r="O51" s="226"/>
      <c r="P51" s="226"/>
      <c r="Q51" s="226"/>
      <c r="R51" s="226"/>
      <c r="S51" s="226"/>
    </row>
    <row r="52" spans="6:19" ht="9.75" customHeight="1">
      <c r="F52" s="220"/>
      <c r="G52" s="220"/>
      <c r="H52" s="220"/>
      <c r="I52" s="220"/>
      <c r="J52" s="220"/>
      <c r="K52" s="220"/>
      <c r="L52" s="226"/>
      <c r="M52" s="226"/>
      <c r="N52" s="226"/>
      <c r="O52" s="226"/>
      <c r="P52" s="226"/>
      <c r="Q52" s="226"/>
      <c r="R52" s="226"/>
      <c r="S52" s="226"/>
    </row>
    <row r="53" spans="1:19" ht="12.75" customHeight="1">
      <c r="A53" s="79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</row>
  </sheetData>
  <sheetProtection/>
  <mergeCells count="39">
    <mergeCell ref="C53:S53"/>
    <mergeCell ref="L50:M50"/>
    <mergeCell ref="C49:I49"/>
    <mergeCell ref="N50:O50"/>
    <mergeCell ref="N49:R49"/>
    <mergeCell ref="B20:B21"/>
    <mergeCell ref="N47:R47"/>
    <mergeCell ref="N48:O48"/>
    <mergeCell ref="L48:M48"/>
    <mergeCell ref="R20:R21"/>
    <mergeCell ref="B15:J15"/>
    <mergeCell ref="F9:H9"/>
    <mergeCell ref="T20:T21"/>
    <mergeCell ref="L20:O20"/>
    <mergeCell ref="S15:T15"/>
    <mergeCell ref="M15:O15"/>
    <mergeCell ref="M14:O14"/>
    <mergeCell ref="C20:C21"/>
    <mergeCell ref="I20:I21"/>
    <mergeCell ref="F20:F21"/>
    <mergeCell ref="C14:F14"/>
    <mergeCell ref="R6:T6"/>
    <mergeCell ref="C16:J16"/>
    <mergeCell ref="B47:I47"/>
    <mergeCell ref="C18:F18"/>
    <mergeCell ref="B17:F17"/>
    <mergeCell ref="S20:S21"/>
    <mergeCell ref="M17:N17"/>
    <mergeCell ref="R16:S16"/>
    <mergeCell ref="M8:S8"/>
    <mergeCell ref="R2:T2"/>
    <mergeCell ref="R3:T3"/>
    <mergeCell ref="R4:T4"/>
    <mergeCell ref="R5:T5"/>
    <mergeCell ref="C13:F13"/>
    <mergeCell ref="C12:T12"/>
    <mergeCell ref="F8:H8"/>
    <mergeCell ref="M11:T11"/>
    <mergeCell ref="M13:T13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8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7"/>
  <sheetViews>
    <sheetView zoomScalePageLayoutView="0" workbookViewId="0" topLeftCell="A10">
      <selection activeCell="Y23" sqref="Y23"/>
    </sheetView>
  </sheetViews>
  <sheetFormatPr defaultColWidth="9.00390625" defaultRowHeight="12.75"/>
  <cols>
    <col min="1" max="1" width="1.875" style="0" customWidth="1"/>
    <col min="2" max="2" width="4.00390625" style="4" customWidth="1"/>
    <col min="3" max="3" width="20.875" style="4" customWidth="1"/>
    <col min="4" max="4" width="17.375" style="4" hidden="1" customWidth="1"/>
    <col min="5" max="5" width="7.75390625" style="4" customWidth="1"/>
    <col min="6" max="6" width="6.375" style="4" customWidth="1"/>
    <col min="7" max="7" width="10.625" style="4" customWidth="1"/>
    <col min="8" max="8" width="6.125" style="4" hidden="1" customWidth="1"/>
    <col min="9" max="9" width="8.375" style="4" customWidth="1"/>
    <col min="10" max="10" width="10.25390625" style="4" customWidth="1"/>
    <col min="11" max="11" width="4.25390625" style="4" hidden="1" customWidth="1"/>
    <col min="12" max="12" width="11.125" style="4" customWidth="1"/>
    <col min="13" max="13" width="5.00390625" style="4" hidden="1" customWidth="1"/>
    <col min="14" max="14" width="13.25390625" style="4" customWidth="1"/>
    <col min="15" max="15" width="9.375" style="4" customWidth="1"/>
    <col min="16" max="16" width="9.00390625" style="4" customWidth="1"/>
    <col min="17" max="17" width="11.25390625" style="4" customWidth="1"/>
    <col min="18" max="19" width="0" style="4" hidden="1" customWidth="1"/>
    <col min="20" max="20" width="11.125" style="4" hidden="1" customWidth="1"/>
    <col min="21" max="22" width="0" style="4" hidden="1" customWidth="1"/>
    <col min="23" max="23" width="15.875" style="4" customWidth="1"/>
    <col min="24" max="24" width="9.125" style="4" customWidth="1"/>
  </cols>
  <sheetData>
    <row r="2" spans="10:16" ht="12.75">
      <c r="J2" s="50"/>
      <c r="K2" s="50"/>
      <c r="L2" s="50"/>
      <c r="M2" s="50"/>
      <c r="N2" s="50"/>
      <c r="O2" s="50" t="s">
        <v>67</v>
      </c>
      <c r="P2" s="50"/>
    </row>
    <row r="3" spans="10:17" ht="12.75">
      <c r="J3" s="50"/>
      <c r="K3" s="50"/>
      <c r="L3" s="50"/>
      <c r="M3" s="50"/>
      <c r="N3" s="50"/>
      <c r="O3" s="50" t="s">
        <v>68</v>
      </c>
      <c r="P3" s="50"/>
      <c r="Q3" s="50"/>
    </row>
    <row r="4" spans="10:17" ht="12.75">
      <c r="J4" s="50"/>
      <c r="K4" s="50"/>
      <c r="L4" s="50"/>
      <c r="M4" s="50"/>
      <c r="N4" s="50"/>
      <c r="O4" s="50" t="s">
        <v>69</v>
      </c>
      <c r="P4" s="50"/>
      <c r="Q4" s="50"/>
    </row>
    <row r="5" spans="10:17" ht="12.75">
      <c r="J5" s="50"/>
      <c r="K5" s="50"/>
      <c r="L5" s="50"/>
      <c r="M5" s="50"/>
      <c r="N5" s="50"/>
      <c r="O5" s="50" t="s">
        <v>70</v>
      </c>
      <c r="P5" s="50"/>
      <c r="Q5" s="50"/>
    </row>
    <row r="6" spans="10:17" ht="12.75">
      <c r="J6" s="50"/>
      <c r="K6" s="50"/>
      <c r="L6" s="50"/>
      <c r="M6" s="50"/>
      <c r="N6" s="50"/>
      <c r="O6" s="50" t="s">
        <v>99</v>
      </c>
      <c r="P6" s="50"/>
      <c r="Q6" s="50"/>
    </row>
    <row r="7" ht="20.25" customHeight="1"/>
    <row r="8" spans="7:23" ht="18.75">
      <c r="G8" s="2"/>
      <c r="H8" s="2"/>
      <c r="I8" s="73"/>
      <c r="J8" s="151"/>
      <c r="K8" s="56"/>
      <c r="L8" s="56"/>
      <c r="M8" s="56"/>
      <c r="N8" s="320" t="s">
        <v>0</v>
      </c>
      <c r="O8" s="320"/>
      <c r="P8" s="320"/>
      <c r="Q8" s="320"/>
      <c r="R8" s="320"/>
      <c r="S8" s="320"/>
      <c r="T8" s="320"/>
      <c r="U8" s="320"/>
      <c r="V8" s="320"/>
      <c r="W8" s="320"/>
    </row>
    <row r="9" spans="7:23" ht="15.75">
      <c r="G9" s="10"/>
      <c r="H9" s="10"/>
      <c r="I9" s="74"/>
      <c r="J9" s="167"/>
      <c r="K9" s="165"/>
      <c r="L9" s="165"/>
      <c r="M9" s="165"/>
      <c r="N9" s="328" t="s">
        <v>192</v>
      </c>
      <c r="O9" s="328"/>
      <c r="P9" s="328"/>
      <c r="Q9" s="328"/>
      <c r="R9" s="328"/>
      <c r="S9" s="328"/>
      <c r="T9" s="328"/>
      <c r="U9" s="328"/>
      <c r="V9" s="328"/>
      <c r="W9" s="328"/>
    </row>
    <row r="10" spans="7:23" ht="15.75">
      <c r="G10" s="11"/>
      <c r="H10" s="11"/>
      <c r="I10" s="74"/>
      <c r="J10" s="167"/>
      <c r="K10" s="165"/>
      <c r="L10" s="165"/>
      <c r="M10" s="165"/>
      <c r="N10" s="328" t="s">
        <v>197</v>
      </c>
      <c r="O10" s="328"/>
      <c r="P10" s="328"/>
      <c r="Q10" s="328"/>
      <c r="R10" s="328"/>
      <c r="S10" s="328"/>
      <c r="T10" s="328"/>
      <c r="U10" s="328"/>
      <c r="V10" s="328"/>
      <c r="W10" s="328"/>
    </row>
    <row r="11" spans="3:23" ht="15.75">
      <c r="C11" s="252"/>
      <c r="D11" s="252"/>
      <c r="E11" s="252"/>
      <c r="F11" s="2"/>
      <c r="G11" s="53"/>
      <c r="H11" s="53"/>
      <c r="I11" s="75"/>
      <c r="J11" s="168"/>
      <c r="K11" s="166"/>
      <c r="L11" s="166"/>
      <c r="M11" s="166"/>
      <c r="N11" s="319" t="s">
        <v>191</v>
      </c>
      <c r="O11" s="319"/>
      <c r="P11" s="319"/>
      <c r="Q11" s="319"/>
      <c r="R11" s="319"/>
      <c r="S11" s="319"/>
      <c r="T11" s="319"/>
      <c r="U11" s="319"/>
      <c r="V11" s="319"/>
      <c r="W11" s="319"/>
    </row>
    <row r="12" spans="3:23" ht="20.25">
      <c r="C12" s="254"/>
      <c r="D12" s="254"/>
      <c r="E12" s="254"/>
      <c r="F12" s="148"/>
      <c r="G12" s="10"/>
      <c r="H12" s="10"/>
      <c r="I12" s="76"/>
      <c r="J12" s="162"/>
      <c r="K12" s="126"/>
      <c r="L12" s="126"/>
      <c r="M12" s="126"/>
      <c r="N12" s="327" t="s">
        <v>3</v>
      </c>
      <c r="O12" s="327"/>
      <c r="P12" s="327"/>
      <c r="Q12" s="327"/>
      <c r="R12" s="327"/>
      <c r="S12" s="327"/>
      <c r="T12" s="327"/>
      <c r="U12" s="327"/>
      <c r="V12" s="327"/>
      <c r="W12" s="327"/>
    </row>
    <row r="13" spans="3:17" ht="8.25" customHeight="1">
      <c r="C13" s="252"/>
      <c r="D13" s="252"/>
      <c r="E13" s="252"/>
      <c r="F13" s="2"/>
      <c r="G13" s="10"/>
      <c r="H13" s="10"/>
      <c r="I13" s="74"/>
      <c r="J13" s="164"/>
      <c r="K13" s="12"/>
      <c r="L13" s="12"/>
      <c r="M13" s="12"/>
      <c r="N13" s="167"/>
      <c r="O13" s="12"/>
      <c r="P13" s="12"/>
      <c r="Q13" s="42"/>
    </row>
    <row r="14" spans="3:18" ht="20.25" customHeight="1">
      <c r="C14" s="130" t="s">
        <v>74</v>
      </c>
      <c r="D14" s="130"/>
      <c r="E14" s="130"/>
      <c r="F14" s="130"/>
      <c r="G14" s="130"/>
      <c r="H14" s="130"/>
      <c r="I14" s="77"/>
      <c r="J14" s="169"/>
      <c r="K14" s="77"/>
      <c r="L14" s="77"/>
      <c r="M14" s="77"/>
      <c r="N14" s="170"/>
      <c r="O14" s="170"/>
      <c r="P14" s="126"/>
      <c r="Q14" s="126" t="s">
        <v>104</v>
      </c>
      <c r="R14" s="72"/>
    </row>
    <row r="15" spans="3:18" ht="18.75">
      <c r="C15" s="320" t="s">
        <v>100</v>
      </c>
      <c r="D15" s="320"/>
      <c r="E15" s="320"/>
      <c r="F15" s="320"/>
      <c r="G15" s="320"/>
      <c r="H15" s="151"/>
      <c r="I15" s="52"/>
      <c r="J15" s="52"/>
      <c r="K15" s="52"/>
      <c r="L15" s="52"/>
      <c r="M15" s="5" t="s">
        <v>75</v>
      </c>
      <c r="N15" s="52"/>
      <c r="O15" s="52"/>
      <c r="P15" s="12"/>
      <c r="Q15" s="163"/>
      <c r="R15" s="12"/>
    </row>
    <row r="16" spans="3:16" ht="15.75">
      <c r="C16" s="255"/>
      <c r="D16" s="255"/>
      <c r="E16" s="255"/>
      <c r="F16" s="147"/>
      <c r="G16" s="10"/>
      <c r="H16" s="10"/>
      <c r="I16" s="10"/>
      <c r="J16" s="10"/>
      <c r="K16" s="10"/>
      <c r="L16" s="10"/>
      <c r="M16" s="10"/>
      <c r="N16" s="10"/>
      <c r="O16" s="10"/>
      <c r="P16" s="101"/>
    </row>
    <row r="17" spans="7:16" ht="12.75">
      <c r="G17" s="10"/>
      <c r="H17" s="10"/>
      <c r="I17" s="10"/>
      <c r="J17" s="10"/>
      <c r="K17" s="10"/>
      <c r="L17" s="10"/>
      <c r="M17" s="160"/>
      <c r="N17" s="160"/>
      <c r="O17" s="160"/>
      <c r="P17" s="10"/>
    </row>
    <row r="18" spans="3:17" ht="18.75">
      <c r="C18" s="320" t="s">
        <v>193</v>
      </c>
      <c r="D18" s="320"/>
      <c r="E18" s="320"/>
      <c r="F18" s="320"/>
      <c r="G18" s="320"/>
      <c r="H18" s="151"/>
      <c r="I18" s="56"/>
      <c r="J18" s="321">
        <v>42788</v>
      </c>
      <c r="K18" s="321"/>
      <c r="L18" s="322"/>
      <c r="M18" s="161"/>
      <c r="N18" s="161"/>
      <c r="O18" s="161"/>
      <c r="P18" s="56"/>
      <c r="Q18" s="56"/>
    </row>
    <row r="19" spans="3:23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5:6" ht="12.75">
      <c r="E20" s="57"/>
      <c r="F20" s="57"/>
    </row>
    <row r="21" spans="2:23" ht="15" customHeight="1">
      <c r="B21" s="266" t="s">
        <v>9</v>
      </c>
      <c r="C21" s="268" t="s">
        <v>98</v>
      </c>
      <c r="D21" s="17"/>
      <c r="E21" s="256" t="s">
        <v>56</v>
      </c>
      <c r="F21" s="256" t="s">
        <v>105</v>
      </c>
      <c r="G21" s="256" t="s">
        <v>57</v>
      </c>
      <c r="H21" s="258" t="s">
        <v>189</v>
      </c>
      <c r="I21" s="259"/>
      <c r="J21" s="259"/>
      <c r="K21" s="259"/>
      <c r="L21" s="259"/>
      <c r="M21" s="259"/>
      <c r="N21" s="259"/>
      <c r="O21" s="259"/>
      <c r="P21" s="260"/>
      <c r="Q21" s="256" t="s">
        <v>64</v>
      </c>
      <c r="R21" s="18"/>
      <c r="S21" s="18" t="s">
        <v>42</v>
      </c>
      <c r="T21" s="256" t="s">
        <v>64</v>
      </c>
      <c r="U21" s="256" t="s">
        <v>65</v>
      </c>
      <c r="V21" s="19" t="s">
        <v>52</v>
      </c>
      <c r="W21" s="256" t="s">
        <v>65</v>
      </c>
    </row>
    <row r="22" spans="2:23" ht="38.25" customHeight="1">
      <c r="B22" s="330"/>
      <c r="C22" s="331"/>
      <c r="D22" s="21"/>
      <c r="E22" s="329"/>
      <c r="F22" s="329"/>
      <c r="G22" s="329"/>
      <c r="H22" s="323" t="s">
        <v>190</v>
      </c>
      <c r="I22" s="324"/>
      <c r="J22" s="256" t="s">
        <v>186</v>
      </c>
      <c r="K22" s="323" t="s">
        <v>60</v>
      </c>
      <c r="L22" s="324"/>
      <c r="M22" s="323" t="s">
        <v>187</v>
      </c>
      <c r="N22" s="324"/>
      <c r="O22" s="258" t="s">
        <v>194</v>
      </c>
      <c r="P22" s="260"/>
      <c r="Q22" s="329"/>
      <c r="R22" s="18"/>
      <c r="S22" s="18"/>
      <c r="T22" s="257"/>
      <c r="U22" s="257"/>
      <c r="V22" s="19"/>
      <c r="W22" s="329"/>
    </row>
    <row r="23" spans="2:23" ht="33" customHeight="1">
      <c r="B23" s="267"/>
      <c r="C23" s="269"/>
      <c r="D23" s="21"/>
      <c r="E23" s="257"/>
      <c r="F23" s="257"/>
      <c r="G23" s="257"/>
      <c r="H23" s="325"/>
      <c r="I23" s="326"/>
      <c r="J23" s="257"/>
      <c r="K23" s="325"/>
      <c r="L23" s="326"/>
      <c r="M23" s="325"/>
      <c r="N23" s="326"/>
      <c r="O23" s="159">
        <v>0.25</v>
      </c>
      <c r="P23" s="159">
        <v>0.5</v>
      </c>
      <c r="Q23" s="257"/>
      <c r="R23" s="18"/>
      <c r="S23" s="18"/>
      <c r="T23" s="150"/>
      <c r="U23" s="150"/>
      <c r="V23" s="19"/>
      <c r="W23" s="257"/>
    </row>
    <row r="24" spans="2:23" ht="15.75">
      <c r="B24" s="58">
        <v>1</v>
      </c>
      <c r="C24" s="59" t="s">
        <v>196</v>
      </c>
      <c r="D24" s="60" t="s">
        <v>182</v>
      </c>
      <c r="E24" s="58">
        <v>1</v>
      </c>
      <c r="F24" s="58">
        <v>13</v>
      </c>
      <c r="G24" s="62">
        <v>3632</v>
      </c>
      <c r="H24" s="158"/>
      <c r="I24" s="61"/>
      <c r="J24" s="61"/>
      <c r="K24" s="158">
        <v>0.3</v>
      </c>
      <c r="L24" s="62">
        <f>(G24+I24+J24)*K24</f>
        <v>1089.6</v>
      </c>
      <c r="M24" s="158">
        <v>0.2</v>
      </c>
      <c r="N24" s="62">
        <f>(G24+I24+J24)*M24</f>
        <v>726.4000000000001</v>
      </c>
      <c r="O24" s="62"/>
      <c r="P24" s="62">
        <f>G24*0.5</f>
        <v>1816</v>
      </c>
      <c r="Q24" s="62">
        <f>G24+I24+J24+L24+N24+O24+P24</f>
        <v>7264</v>
      </c>
      <c r="R24" s="63">
        <v>0.6</v>
      </c>
      <c r="S24" s="64">
        <f>Q24*R24</f>
        <v>4358.4</v>
      </c>
      <c r="T24" s="65">
        <f>Q24+S24</f>
        <v>11622.4</v>
      </c>
      <c r="U24" s="64">
        <v>0.795</v>
      </c>
      <c r="V24" s="64">
        <f>T24*U24</f>
        <v>9239.808</v>
      </c>
      <c r="W24" s="65">
        <f>Q24*12</f>
        <v>87168</v>
      </c>
    </row>
    <row r="25" spans="2:23" ht="15.75">
      <c r="B25" s="58">
        <v>2</v>
      </c>
      <c r="C25" s="59" t="s">
        <v>195</v>
      </c>
      <c r="D25" s="60" t="s">
        <v>183</v>
      </c>
      <c r="E25" s="58">
        <v>1</v>
      </c>
      <c r="F25" s="58">
        <v>12</v>
      </c>
      <c r="G25" s="62">
        <v>3392</v>
      </c>
      <c r="H25" s="158">
        <v>0.15</v>
      </c>
      <c r="I25" s="62">
        <f>G25*H25</f>
        <v>508.79999999999995</v>
      </c>
      <c r="J25" s="62">
        <f>G25*0.1</f>
        <v>339.20000000000005</v>
      </c>
      <c r="K25" s="158">
        <v>0.3</v>
      </c>
      <c r="L25" s="62">
        <f>(G25+I25+J25)*K25</f>
        <v>1272</v>
      </c>
      <c r="M25" s="158">
        <v>0.2</v>
      </c>
      <c r="N25" s="62">
        <f>(G25+I25+J25)*M25</f>
        <v>848</v>
      </c>
      <c r="O25" s="62">
        <f>(G25+I25+J25)*0.25</f>
        <v>1060</v>
      </c>
      <c r="P25" s="62"/>
      <c r="Q25" s="62">
        <f>G25+I25+J25+L25+N25+O25+P25</f>
        <v>7420</v>
      </c>
      <c r="R25" s="63">
        <v>0.5</v>
      </c>
      <c r="S25" s="64">
        <f>Q25*R25</f>
        <v>3710</v>
      </c>
      <c r="T25" s="65">
        <f>Q25+S25</f>
        <v>11130</v>
      </c>
      <c r="U25" s="64">
        <v>0.795</v>
      </c>
      <c r="V25" s="64">
        <f>T25*U25</f>
        <v>8848.35</v>
      </c>
      <c r="W25" s="65">
        <f>Q25*12</f>
        <v>89040</v>
      </c>
    </row>
    <row r="26" spans="2:23" ht="15.75">
      <c r="B26" s="58">
        <f>B25+1</f>
        <v>3</v>
      </c>
      <c r="C26" s="59" t="s">
        <v>195</v>
      </c>
      <c r="D26" s="60" t="s">
        <v>184</v>
      </c>
      <c r="E26" s="58">
        <v>1</v>
      </c>
      <c r="F26" s="58">
        <v>12</v>
      </c>
      <c r="G26" s="62">
        <v>3392</v>
      </c>
      <c r="H26" s="157"/>
      <c r="I26" s="61"/>
      <c r="J26" s="62">
        <f>G26*0.1</f>
        <v>339.20000000000005</v>
      </c>
      <c r="K26" s="158">
        <v>0.3</v>
      </c>
      <c r="L26" s="62">
        <f>(G26+I26+J26)*K26</f>
        <v>1119.36</v>
      </c>
      <c r="M26" s="158">
        <v>0.2</v>
      </c>
      <c r="N26" s="62">
        <f>(G26+I26+J26)*M26</f>
        <v>746.24</v>
      </c>
      <c r="O26" s="62">
        <f>(G26+I26+J26)*0.25</f>
        <v>932.8</v>
      </c>
      <c r="P26" s="62"/>
      <c r="Q26" s="62">
        <f>G26+I26+J26+L26+N26+O26+P26</f>
        <v>6529.599999999999</v>
      </c>
      <c r="R26" s="65"/>
      <c r="S26" s="65"/>
      <c r="T26" s="65"/>
      <c r="U26" s="64"/>
      <c r="V26" s="64"/>
      <c r="W26" s="65">
        <f>Q26*12</f>
        <v>78355.2</v>
      </c>
    </row>
    <row r="27" spans="2:23" ht="15.75">
      <c r="B27" s="58">
        <f>B26+1</f>
        <v>4</v>
      </c>
      <c r="C27" s="59" t="s">
        <v>195</v>
      </c>
      <c r="D27" s="60" t="s">
        <v>185</v>
      </c>
      <c r="E27" s="58">
        <v>1</v>
      </c>
      <c r="F27" s="58">
        <v>12</v>
      </c>
      <c r="G27" s="62">
        <v>3392</v>
      </c>
      <c r="H27" s="157"/>
      <c r="I27" s="61"/>
      <c r="J27" s="62">
        <f>G27*0.1</f>
        <v>339.20000000000005</v>
      </c>
      <c r="K27" s="158">
        <v>0.2</v>
      </c>
      <c r="L27" s="62">
        <f>(G27+I27+J27)*K27</f>
        <v>746.24</v>
      </c>
      <c r="M27" s="158">
        <v>0.2</v>
      </c>
      <c r="N27" s="62">
        <f>(G27+I27+J27)*M27</f>
        <v>746.24</v>
      </c>
      <c r="O27" s="62">
        <f>(G27+I27+J27)*0.25</f>
        <v>932.8</v>
      </c>
      <c r="P27" s="62"/>
      <c r="Q27" s="62">
        <f>G27+I27+J27+L27+N27+O27+P27</f>
        <v>6156.48</v>
      </c>
      <c r="R27" s="65"/>
      <c r="S27" s="65"/>
      <c r="T27" s="65"/>
      <c r="U27" s="64"/>
      <c r="V27" s="64"/>
      <c r="W27" s="65">
        <f>Q27*12</f>
        <v>73877.76</v>
      </c>
    </row>
    <row r="28" spans="2:23" ht="15.75">
      <c r="B28" s="64"/>
      <c r="C28" s="64"/>
      <c r="D28" s="66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2"/>
      <c r="R28" s="64"/>
      <c r="S28" s="64"/>
      <c r="T28" s="64"/>
      <c r="U28" s="64"/>
      <c r="V28" s="64"/>
      <c r="W28" s="65"/>
    </row>
    <row r="29" spans="2:23" ht="15.75">
      <c r="B29" s="64"/>
      <c r="C29" s="67" t="s">
        <v>24</v>
      </c>
      <c r="D29" s="68"/>
      <c r="E29" s="69">
        <f>SUM(E24:E28)</f>
        <v>4</v>
      </c>
      <c r="F29" s="69"/>
      <c r="G29" s="70">
        <f>SUM(G24:G28)</f>
        <v>13808</v>
      </c>
      <c r="H29" s="70"/>
      <c r="I29" s="70">
        <f>SUM(I24:I28)</f>
        <v>508.79999999999995</v>
      </c>
      <c r="J29" s="70">
        <f>J25</f>
        <v>339.20000000000005</v>
      </c>
      <c r="K29" s="70"/>
      <c r="L29" s="70">
        <f>SUM(L24:L28)</f>
        <v>4227.2</v>
      </c>
      <c r="M29" s="70"/>
      <c r="N29" s="70">
        <f>SUM(N24:N28)</f>
        <v>3066.88</v>
      </c>
      <c r="O29" s="70">
        <f>SUM(O24:O28)</f>
        <v>2925.6</v>
      </c>
      <c r="P29" s="70">
        <f>SUM(P24:P28)</f>
        <v>1816</v>
      </c>
      <c r="Q29" s="70">
        <f>SUM(Q24:Q28)</f>
        <v>27370.079999999998</v>
      </c>
      <c r="R29" s="64"/>
      <c r="S29" s="64"/>
      <c r="T29" s="64"/>
      <c r="U29" s="64"/>
      <c r="V29" s="64"/>
      <c r="W29" s="70">
        <f>SUM(W24:W28)</f>
        <v>328440.96</v>
      </c>
    </row>
    <row r="30" ht="12.75">
      <c r="Q30" s="71"/>
    </row>
    <row r="31" spans="3:23" ht="27" customHeight="1">
      <c r="C31" s="274" t="s">
        <v>93</v>
      </c>
      <c r="D31" s="274"/>
      <c r="E31" s="274"/>
      <c r="F31" s="274"/>
      <c r="G31" s="274"/>
      <c r="H31" s="149"/>
      <c r="I31" s="155"/>
      <c r="J31" s="155"/>
      <c r="K31" s="155"/>
      <c r="L31" s="276" t="s">
        <v>95</v>
      </c>
      <c r="M31" s="276"/>
      <c r="N31" s="276"/>
      <c r="O31" s="276"/>
      <c r="P31" s="276"/>
      <c r="Q31" s="35"/>
      <c r="R31" s="35"/>
      <c r="S31" s="35"/>
      <c r="T31" s="35"/>
      <c r="U31" s="35"/>
      <c r="W31" s="71"/>
    </row>
    <row r="32" spans="3:21" ht="18.75">
      <c r="C32" s="97"/>
      <c r="D32" s="97"/>
      <c r="E32" s="97"/>
      <c r="F32" s="97"/>
      <c r="G32" s="46"/>
      <c r="H32" s="46"/>
      <c r="I32" s="272" t="s">
        <v>102</v>
      </c>
      <c r="J32" s="272"/>
      <c r="K32" s="36"/>
      <c r="L32" s="278" t="s">
        <v>101</v>
      </c>
      <c r="M32" s="278"/>
      <c r="N32" s="278"/>
      <c r="O32" s="278"/>
      <c r="P32" s="279"/>
      <c r="Q32" s="35"/>
      <c r="R32" s="35"/>
      <c r="S32" s="35"/>
      <c r="T32" s="35"/>
      <c r="U32" s="35"/>
    </row>
    <row r="33" spans="3:21" ht="27.75" customHeight="1">
      <c r="C33" s="274" t="s">
        <v>94</v>
      </c>
      <c r="D33" s="274"/>
      <c r="E33" s="274"/>
      <c r="F33" s="274"/>
      <c r="G33" s="274"/>
      <c r="H33" s="149"/>
      <c r="I33" s="127"/>
      <c r="J33" s="128"/>
      <c r="K33" s="128"/>
      <c r="L33" s="273" t="s">
        <v>188</v>
      </c>
      <c r="M33" s="273"/>
      <c r="N33" s="273"/>
      <c r="O33" s="273"/>
      <c r="P33" s="273"/>
      <c r="Q33" s="35"/>
      <c r="R33" s="35"/>
      <c r="S33" s="35"/>
      <c r="T33" s="35"/>
      <c r="U33" s="35"/>
    </row>
    <row r="34" spans="3:21" ht="18.75">
      <c r="C34" s="98"/>
      <c r="D34" s="98"/>
      <c r="E34" s="99"/>
      <c r="F34" s="99"/>
      <c r="G34" s="38"/>
      <c r="H34" s="38"/>
      <c r="I34" s="272" t="s">
        <v>102</v>
      </c>
      <c r="J34" s="272"/>
      <c r="K34" s="36"/>
      <c r="L34" s="278" t="s">
        <v>101</v>
      </c>
      <c r="M34" s="278"/>
      <c r="N34" s="278"/>
      <c r="O34" s="278"/>
      <c r="P34" s="279"/>
      <c r="Q34" s="35"/>
      <c r="R34" s="35"/>
      <c r="S34" s="35"/>
      <c r="T34" s="35"/>
      <c r="U34" s="35"/>
    </row>
    <row r="35" spans="3:21" ht="21" customHeight="1">
      <c r="C35" s="51"/>
      <c r="E35" s="38"/>
      <c r="F35" s="38"/>
      <c r="G35" s="38"/>
      <c r="H35" s="38"/>
      <c r="I35" s="36" t="s">
        <v>75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5:21" ht="12.75">
      <c r="E36" s="38"/>
      <c r="F36" s="38"/>
      <c r="G36" s="38"/>
      <c r="H36" s="3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3:21" ht="12.75">
      <c r="C37" s="275" t="s">
        <v>148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</row>
  </sheetData>
  <sheetProtection/>
  <mergeCells count="36">
    <mergeCell ref="W21:W23"/>
    <mergeCell ref="T21:T22"/>
    <mergeCell ref="U21:U22"/>
    <mergeCell ref="B21:B23"/>
    <mergeCell ref="O22:P22"/>
    <mergeCell ref="Q21:Q23"/>
    <mergeCell ref="C21:C23"/>
    <mergeCell ref="G21:G23"/>
    <mergeCell ref="E21:E23"/>
    <mergeCell ref="F21:F23"/>
    <mergeCell ref="M22:N23"/>
    <mergeCell ref="K22:L23"/>
    <mergeCell ref="N8:W8"/>
    <mergeCell ref="C13:E13"/>
    <mergeCell ref="C15:G15"/>
    <mergeCell ref="C11:E11"/>
    <mergeCell ref="C12:E12"/>
    <mergeCell ref="N12:W12"/>
    <mergeCell ref="N9:W9"/>
    <mergeCell ref="N10:W10"/>
    <mergeCell ref="N11:W11"/>
    <mergeCell ref="L32:P32"/>
    <mergeCell ref="C16:E16"/>
    <mergeCell ref="C18:G18"/>
    <mergeCell ref="J18:L18"/>
    <mergeCell ref="H22:I23"/>
    <mergeCell ref="J22:J23"/>
    <mergeCell ref="H21:P21"/>
    <mergeCell ref="C31:G31"/>
    <mergeCell ref="L31:P31"/>
    <mergeCell ref="I32:J32"/>
    <mergeCell ref="C37:U37"/>
    <mergeCell ref="C33:G33"/>
    <mergeCell ref="L33:P33"/>
    <mergeCell ref="I34:J34"/>
    <mergeCell ref="L34:P34"/>
  </mergeCells>
  <printOptions/>
  <pageMargins left="0.7874015748031497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zoomScalePageLayoutView="0" workbookViewId="0" topLeftCell="A22">
      <selection activeCell="H43" sqref="H43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7.125" style="4" customWidth="1"/>
    <col min="4" max="4" width="13.75390625" style="4" customWidth="1"/>
    <col min="5" max="5" width="11.125" style="4" customWidth="1"/>
    <col min="6" max="6" width="9.125" style="4" customWidth="1"/>
    <col min="7" max="7" width="13.75390625" style="4" customWidth="1"/>
    <col min="8" max="8" width="12.25390625" style="4" customWidth="1"/>
    <col min="9" max="9" width="11.00390625" style="4" customWidth="1"/>
    <col min="10" max="10" width="12.375" style="4" customWidth="1"/>
    <col min="11" max="11" width="12.375" style="4" hidden="1" customWidth="1"/>
    <col min="12" max="12" width="11.875" style="4" customWidth="1"/>
    <col min="13" max="13" width="14.375" style="4" customWidth="1"/>
    <col min="14" max="14" width="16.125" style="4" customWidth="1"/>
    <col min="15" max="15" width="9.125" style="4" customWidth="1"/>
  </cols>
  <sheetData>
    <row r="1" ht="12.75">
      <c r="P1" s="4"/>
    </row>
    <row r="2" spans="10:16" ht="16.5" customHeight="1">
      <c r="J2" s="50"/>
      <c r="K2" s="50"/>
      <c r="L2" s="12" t="s">
        <v>67</v>
      </c>
      <c r="M2" s="50"/>
      <c r="N2" s="50"/>
      <c r="O2" s="50"/>
      <c r="P2" s="50"/>
    </row>
    <row r="3" spans="10:16" ht="15">
      <c r="J3" s="50"/>
      <c r="K3" s="50"/>
      <c r="L3" s="12" t="s">
        <v>68</v>
      </c>
      <c r="M3" s="50"/>
      <c r="N3" s="50"/>
      <c r="O3" s="50"/>
      <c r="P3" s="50"/>
    </row>
    <row r="4" spans="10:16" ht="15">
      <c r="J4" s="50"/>
      <c r="K4" s="50"/>
      <c r="L4" s="12" t="s">
        <v>69</v>
      </c>
      <c r="M4" s="50"/>
      <c r="N4" s="50"/>
      <c r="O4" s="50"/>
      <c r="P4" s="50"/>
    </row>
    <row r="5" spans="10:16" ht="15">
      <c r="J5" s="50"/>
      <c r="K5" s="50"/>
      <c r="L5" s="12" t="s">
        <v>70</v>
      </c>
      <c r="M5" s="50"/>
      <c r="N5" s="50"/>
      <c r="O5" s="50"/>
      <c r="P5" s="50"/>
    </row>
    <row r="6" spans="10:16" ht="15">
      <c r="J6" s="50"/>
      <c r="K6" s="50"/>
      <c r="L6" s="12" t="s">
        <v>99</v>
      </c>
      <c r="M6" s="50"/>
      <c r="N6" s="50"/>
      <c r="O6" s="50"/>
      <c r="P6" s="50"/>
    </row>
    <row r="7" ht="12.75">
      <c r="P7" s="4"/>
    </row>
    <row r="8" spans="8:16" ht="39" customHeight="1">
      <c r="H8" s="2"/>
      <c r="I8" s="255" t="s">
        <v>0</v>
      </c>
      <c r="J8" s="255"/>
      <c r="K8" s="255"/>
      <c r="L8" s="255"/>
      <c r="M8" s="78"/>
      <c r="N8" s="78"/>
      <c r="O8" s="48"/>
      <c r="P8" s="48"/>
    </row>
    <row r="9" spans="7:16" ht="15.75">
      <c r="G9" s="71"/>
      <c r="H9" s="10"/>
      <c r="I9" s="261" t="s">
        <v>115</v>
      </c>
      <c r="J9" s="261"/>
      <c r="K9" s="261"/>
      <c r="L9" s="261"/>
      <c r="M9" s="261"/>
      <c r="N9" s="261"/>
      <c r="O9" s="12"/>
      <c r="P9" s="12"/>
    </row>
    <row r="10" spans="8:16" ht="15.75">
      <c r="H10" s="11"/>
      <c r="I10" s="261" t="s">
        <v>1</v>
      </c>
      <c r="J10" s="261"/>
      <c r="K10" s="261"/>
      <c r="L10" s="261"/>
      <c r="M10" s="261"/>
      <c r="N10" s="261"/>
      <c r="O10" s="12"/>
      <c r="P10" s="12"/>
    </row>
    <row r="11" spans="3:21" ht="15.75">
      <c r="C11" s="251"/>
      <c r="D11" s="251"/>
      <c r="E11" s="252"/>
      <c r="F11" s="252"/>
      <c r="G11" s="252"/>
      <c r="H11" s="53"/>
      <c r="I11" s="337" t="s">
        <v>181</v>
      </c>
      <c r="J11" s="337"/>
      <c r="K11" s="337"/>
      <c r="L11" s="337"/>
      <c r="M11" s="337"/>
      <c r="N11" s="337"/>
      <c r="O11" s="75"/>
      <c r="P11" s="75"/>
      <c r="Q11" s="80"/>
      <c r="R11" s="80"/>
      <c r="S11" s="80"/>
      <c r="T11" s="80"/>
      <c r="U11" s="80"/>
    </row>
    <row r="12" spans="3:21" ht="20.25">
      <c r="C12" s="254"/>
      <c r="D12" s="254"/>
      <c r="E12" s="254"/>
      <c r="F12" s="254"/>
      <c r="G12" s="254"/>
      <c r="H12" s="10"/>
      <c r="I12" s="94" t="s">
        <v>3</v>
      </c>
      <c r="J12" s="94"/>
      <c r="K12" s="94"/>
      <c r="L12" s="94"/>
      <c r="M12" s="15"/>
      <c r="N12" s="15"/>
      <c r="O12" s="54"/>
      <c r="P12" s="54"/>
      <c r="Q12" s="80"/>
      <c r="R12" s="80"/>
      <c r="S12" s="80"/>
      <c r="T12" s="80"/>
      <c r="U12" s="80"/>
    </row>
    <row r="13" spans="3:21" ht="9" customHeight="1">
      <c r="C13" s="252"/>
      <c r="D13" s="252"/>
      <c r="E13" s="252"/>
      <c r="F13" s="252"/>
      <c r="G13" s="252"/>
      <c r="H13" s="10"/>
      <c r="I13" s="336" t="s">
        <v>4</v>
      </c>
      <c r="J13" s="336"/>
      <c r="K13" s="336"/>
      <c r="L13" s="336"/>
      <c r="M13" s="52"/>
      <c r="N13" s="42"/>
      <c r="O13" s="73"/>
      <c r="P13" s="85"/>
      <c r="Q13" s="80"/>
      <c r="R13" s="80"/>
      <c r="S13" s="80"/>
      <c r="T13" s="80"/>
      <c r="U13" s="80"/>
    </row>
    <row r="14" spans="3:21" ht="25.5">
      <c r="C14" s="271" t="s">
        <v>74</v>
      </c>
      <c r="D14" s="271"/>
      <c r="E14" s="271"/>
      <c r="F14" s="271"/>
      <c r="G14" s="271"/>
      <c r="H14" s="271"/>
      <c r="I14" s="55"/>
      <c r="J14" s="55"/>
      <c r="K14" s="77"/>
      <c r="L14" s="52"/>
      <c r="M14" s="265" t="s">
        <v>117</v>
      </c>
      <c r="N14" s="265"/>
      <c r="O14" s="76"/>
      <c r="P14" s="76"/>
      <c r="Q14" s="80"/>
      <c r="R14" s="80"/>
      <c r="S14" s="80"/>
      <c r="T14" s="80"/>
      <c r="U14" s="80"/>
    </row>
    <row r="15" spans="3:16" ht="22.5">
      <c r="C15" s="334" t="s">
        <v>100</v>
      </c>
      <c r="D15" s="334"/>
      <c r="E15" s="334"/>
      <c r="F15" s="334"/>
      <c r="G15" s="334"/>
      <c r="H15" s="334"/>
      <c r="I15" s="52"/>
      <c r="J15" s="52"/>
      <c r="K15" s="52"/>
      <c r="L15" s="52" t="s">
        <v>75</v>
      </c>
      <c r="M15" s="12"/>
      <c r="N15" s="12"/>
      <c r="O15" s="12"/>
      <c r="P15" s="12"/>
    </row>
    <row r="16" spans="3:16" ht="15.75">
      <c r="C16" s="255"/>
      <c r="D16" s="255"/>
      <c r="E16" s="255"/>
      <c r="F16" s="255"/>
      <c r="G16" s="255"/>
      <c r="H16" s="10"/>
      <c r="I16" s="265" t="s">
        <v>114</v>
      </c>
      <c r="J16" s="265"/>
      <c r="K16" s="49"/>
      <c r="L16" s="10"/>
      <c r="M16" s="10"/>
      <c r="N16" s="10"/>
      <c r="O16" s="10"/>
      <c r="P16" s="10"/>
    </row>
    <row r="17" spans="7:16" ht="12.75" customHeight="1" hidden="1">
      <c r="G17" s="10"/>
      <c r="H17" s="10"/>
      <c r="I17" s="10"/>
      <c r="J17" s="10"/>
      <c r="K17" s="10"/>
      <c r="L17" s="10"/>
      <c r="M17" s="10"/>
      <c r="N17" s="10"/>
      <c r="P17" s="1"/>
    </row>
    <row r="18" spans="7:16" ht="12.75" customHeight="1" hidden="1">
      <c r="G18" s="10"/>
      <c r="H18" s="10"/>
      <c r="I18" s="10"/>
      <c r="J18" s="10"/>
      <c r="K18" s="10"/>
      <c r="L18" s="10"/>
      <c r="M18" s="10"/>
      <c r="N18" s="10"/>
      <c r="P18" s="1"/>
    </row>
    <row r="19" spans="3:8" ht="20.25">
      <c r="C19" s="254" t="s">
        <v>113</v>
      </c>
      <c r="D19" s="254"/>
      <c r="E19" s="254"/>
      <c r="F19" s="254"/>
      <c r="G19" s="254"/>
      <c r="H19" s="254"/>
    </row>
    <row r="20" spans="5:16" ht="12.75">
      <c r="E20" s="57"/>
      <c r="F20" s="57"/>
      <c r="N20" s="37"/>
      <c r="O20" s="37"/>
      <c r="P20" s="81"/>
    </row>
    <row r="21" spans="2:16" ht="15" customHeight="1">
      <c r="B21" s="266" t="s">
        <v>9</v>
      </c>
      <c r="C21" s="268" t="s">
        <v>98</v>
      </c>
      <c r="D21" s="17"/>
      <c r="E21" s="299" t="s">
        <v>56</v>
      </c>
      <c r="F21" s="299" t="s">
        <v>105</v>
      </c>
      <c r="G21" s="299" t="s">
        <v>57</v>
      </c>
      <c r="H21" s="91" t="s">
        <v>108</v>
      </c>
      <c r="I21" s="307" t="s">
        <v>111</v>
      </c>
      <c r="J21" s="308"/>
      <c r="K21" s="308"/>
      <c r="L21" s="309"/>
      <c r="M21" s="332" t="s">
        <v>64</v>
      </c>
      <c r="N21" s="299" t="s">
        <v>65</v>
      </c>
      <c r="O21" s="82"/>
      <c r="P21" s="82"/>
    </row>
    <row r="22" spans="2:16" ht="60" customHeight="1">
      <c r="B22" s="267"/>
      <c r="C22" s="269"/>
      <c r="D22" s="21"/>
      <c r="E22" s="300"/>
      <c r="F22" s="300"/>
      <c r="G22" s="300"/>
      <c r="H22" s="92" t="s">
        <v>106</v>
      </c>
      <c r="I22" s="93" t="s">
        <v>107</v>
      </c>
      <c r="J22" s="93" t="s">
        <v>109</v>
      </c>
      <c r="K22" s="93" t="s">
        <v>122</v>
      </c>
      <c r="L22" s="93" t="s">
        <v>110</v>
      </c>
      <c r="M22" s="333"/>
      <c r="N22" s="300"/>
      <c r="O22" s="83"/>
      <c r="P22" s="83"/>
    </row>
    <row r="23" spans="2:14" ht="23.25" customHeight="1">
      <c r="B23" s="33">
        <v>1</v>
      </c>
      <c r="C23" s="59" t="s">
        <v>37</v>
      </c>
      <c r="D23" s="59"/>
      <c r="E23" s="58">
        <v>1</v>
      </c>
      <c r="F23" s="58">
        <v>1</v>
      </c>
      <c r="G23" s="62">
        <v>1600</v>
      </c>
      <c r="H23" s="62">
        <f>G23*25/100</f>
        <v>400</v>
      </c>
      <c r="I23" s="65">
        <v>500</v>
      </c>
      <c r="J23" s="64"/>
      <c r="K23" s="65"/>
      <c r="L23" s="65">
        <f>3200-G23-H23-I23-J23</f>
        <v>700</v>
      </c>
      <c r="M23" s="65">
        <f aca="true" t="shared" si="0" ref="M23:M42">G23+H23+I23+J23+L23+K23</f>
        <v>3200</v>
      </c>
      <c r="N23" s="65">
        <f>M23*12</f>
        <v>38400</v>
      </c>
    </row>
    <row r="24" spans="2:14" ht="23.25" customHeight="1">
      <c r="B24" s="33">
        <f>B23+1</f>
        <v>2</v>
      </c>
      <c r="C24" s="59" t="s">
        <v>37</v>
      </c>
      <c r="D24" s="59"/>
      <c r="E24" s="58">
        <v>1</v>
      </c>
      <c r="F24" s="58">
        <v>1</v>
      </c>
      <c r="G24" s="62">
        <v>1600</v>
      </c>
      <c r="H24" s="62">
        <f>G24*25/100</f>
        <v>400</v>
      </c>
      <c r="I24" s="65">
        <v>500</v>
      </c>
      <c r="J24" s="64"/>
      <c r="K24" s="65"/>
      <c r="L24" s="65">
        <f aca="true" t="shared" si="1" ref="L24:L41">3200-G24-H24-I24-J24</f>
        <v>700</v>
      </c>
      <c r="M24" s="65">
        <f t="shared" si="0"/>
        <v>3200</v>
      </c>
      <c r="N24" s="65">
        <f aca="true" t="shared" si="2" ref="N24:N43">M24*12</f>
        <v>38400</v>
      </c>
    </row>
    <row r="25" spans="2:14" ht="23.25" customHeight="1">
      <c r="B25" s="33">
        <f aca="true" t="shared" si="3" ref="B25:B43">B24+1</f>
        <v>3</v>
      </c>
      <c r="C25" s="59" t="s">
        <v>37</v>
      </c>
      <c r="D25" s="59"/>
      <c r="E25" s="58">
        <v>1</v>
      </c>
      <c r="F25" s="58">
        <v>1</v>
      </c>
      <c r="G25" s="62">
        <v>1600</v>
      </c>
      <c r="H25" s="62">
        <f>G25*25/100</f>
        <v>400</v>
      </c>
      <c r="I25" s="65">
        <v>200</v>
      </c>
      <c r="J25" s="64"/>
      <c r="K25" s="65"/>
      <c r="L25" s="65">
        <f t="shared" si="1"/>
        <v>1000</v>
      </c>
      <c r="M25" s="65">
        <f t="shared" si="0"/>
        <v>3200</v>
      </c>
      <c r="N25" s="65">
        <f t="shared" si="2"/>
        <v>38400</v>
      </c>
    </row>
    <row r="26" spans="2:14" ht="23.25" customHeight="1">
      <c r="B26" s="33">
        <f t="shared" si="3"/>
        <v>4</v>
      </c>
      <c r="C26" s="59" t="s">
        <v>37</v>
      </c>
      <c r="D26" s="59"/>
      <c r="E26" s="58">
        <v>1</v>
      </c>
      <c r="F26" s="58">
        <v>1</v>
      </c>
      <c r="G26" s="62">
        <v>1600</v>
      </c>
      <c r="H26" s="62">
        <f>G26*25/100</f>
        <v>400</v>
      </c>
      <c r="I26" s="65"/>
      <c r="J26" s="64"/>
      <c r="K26" s="65"/>
      <c r="L26" s="65">
        <f>3200-G26-H26-I26-J26</f>
        <v>1200</v>
      </c>
      <c r="M26" s="65">
        <f t="shared" si="0"/>
        <v>3200</v>
      </c>
      <c r="N26" s="65">
        <f t="shared" si="2"/>
        <v>38400</v>
      </c>
    </row>
    <row r="27" spans="2:14" ht="23.25" customHeight="1">
      <c r="B27" s="33">
        <f t="shared" si="3"/>
        <v>5</v>
      </c>
      <c r="C27" s="59" t="s">
        <v>38</v>
      </c>
      <c r="D27" s="59"/>
      <c r="E27" s="58">
        <v>1</v>
      </c>
      <c r="F27" s="58">
        <v>1</v>
      </c>
      <c r="G27" s="62">
        <v>1600</v>
      </c>
      <c r="H27" s="61"/>
      <c r="I27" s="65"/>
      <c r="J27" s="64"/>
      <c r="K27" s="65"/>
      <c r="L27" s="65">
        <f t="shared" si="1"/>
        <v>1600</v>
      </c>
      <c r="M27" s="65">
        <f t="shared" si="0"/>
        <v>3200</v>
      </c>
      <c r="N27" s="65">
        <f t="shared" si="2"/>
        <v>38400</v>
      </c>
    </row>
    <row r="28" spans="2:14" ht="23.25" customHeight="1">
      <c r="B28" s="33">
        <f t="shared" si="3"/>
        <v>6</v>
      </c>
      <c r="C28" s="59" t="s">
        <v>38</v>
      </c>
      <c r="D28" s="59"/>
      <c r="E28" s="58">
        <v>1</v>
      </c>
      <c r="F28" s="58">
        <v>1</v>
      </c>
      <c r="G28" s="62">
        <v>1600</v>
      </c>
      <c r="H28" s="61"/>
      <c r="I28" s="65"/>
      <c r="J28" s="64"/>
      <c r="K28" s="65"/>
      <c r="L28" s="65">
        <f t="shared" si="1"/>
        <v>1600</v>
      </c>
      <c r="M28" s="65">
        <f t="shared" si="0"/>
        <v>3200</v>
      </c>
      <c r="N28" s="65">
        <f t="shared" si="2"/>
        <v>38400</v>
      </c>
    </row>
    <row r="29" spans="2:14" ht="23.25" customHeight="1">
      <c r="B29" s="33">
        <f t="shared" si="3"/>
        <v>7</v>
      </c>
      <c r="C29" s="59" t="s">
        <v>38</v>
      </c>
      <c r="D29" s="59"/>
      <c r="E29" s="58">
        <v>1</v>
      </c>
      <c r="F29" s="58">
        <v>1</v>
      </c>
      <c r="G29" s="62">
        <v>1600</v>
      </c>
      <c r="H29" s="61"/>
      <c r="I29" s="65"/>
      <c r="J29" s="64"/>
      <c r="K29" s="65"/>
      <c r="L29" s="65">
        <f t="shared" si="1"/>
        <v>1600</v>
      </c>
      <c r="M29" s="65">
        <f t="shared" si="0"/>
        <v>3200</v>
      </c>
      <c r="N29" s="65">
        <f t="shared" si="2"/>
        <v>38400</v>
      </c>
    </row>
    <row r="30" spans="2:14" ht="23.25" customHeight="1">
      <c r="B30" s="33">
        <f t="shared" si="3"/>
        <v>8</v>
      </c>
      <c r="C30" s="59" t="s">
        <v>38</v>
      </c>
      <c r="D30" s="59"/>
      <c r="E30" s="58">
        <v>1</v>
      </c>
      <c r="F30" s="58">
        <v>1</v>
      </c>
      <c r="G30" s="62">
        <v>1600</v>
      </c>
      <c r="H30" s="61"/>
      <c r="I30" s="65"/>
      <c r="J30" s="64"/>
      <c r="K30" s="65"/>
      <c r="L30" s="65">
        <f>3200-G30-H30-I30-J30</f>
        <v>1600</v>
      </c>
      <c r="M30" s="65">
        <f t="shared" si="0"/>
        <v>3200</v>
      </c>
      <c r="N30" s="65">
        <f t="shared" si="2"/>
        <v>38400</v>
      </c>
    </row>
    <row r="31" spans="2:14" ht="23.25" customHeight="1">
      <c r="B31" s="33">
        <f t="shared" si="3"/>
        <v>9</v>
      </c>
      <c r="C31" s="59" t="s">
        <v>43</v>
      </c>
      <c r="D31" s="59"/>
      <c r="E31" s="58">
        <v>1</v>
      </c>
      <c r="F31" s="58">
        <v>1</v>
      </c>
      <c r="G31" s="62">
        <v>1600</v>
      </c>
      <c r="H31" s="61"/>
      <c r="I31" s="65"/>
      <c r="J31" s="64"/>
      <c r="K31" s="65"/>
      <c r="L31" s="65">
        <f t="shared" si="1"/>
        <v>1600</v>
      </c>
      <c r="M31" s="65">
        <f t="shared" si="0"/>
        <v>3200</v>
      </c>
      <c r="N31" s="65">
        <f t="shared" si="2"/>
        <v>38400</v>
      </c>
    </row>
    <row r="32" spans="2:14" ht="23.25" customHeight="1">
      <c r="B32" s="33">
        <f t="shared" si="3"/>
        <v>10</v>
      </c>
      <c r="C32" s="59" t="s">
        <v>43</v>
      </c>
      <c r="D32" s="59"/>
      <c r="E32" s="58">
        <v>1</v>
      </c>
      <c r="F32" s="58">
        <v>1</v>
      </c>
      <c r="G32" s="62">
        <v>1600</v>
      </c>
      <c r="H32" s="61"/>
      <c r="I32" s="65"/>
      <c r="J32" s="64"/>
      <c r="K32" s="65"/>
      <c r="L32" s="65">
        <f t="shared" si="1"/>
        <v>1600</v>
      </c>
      <c r="M32" s="65">
        <f t="shared" si="0"/>
        <v>3200</v>
      </c>
      <c r="N32" s="65">
        <f t="shared" si="2"/>
        <v>38400</v>
      </c>
    </row>
    <row r="33" spans="2:14" ht="23.25" customHeight="1">
      <c r="B33" s="33">
        <f t="shared" si="3"/>
        <v>11</v>
      </c>
      <c r="C33" s="59" t="s">
        <v>43</v>
      </c>
      <c r="D33" s="59"/>
      <c r="E33" s="58">
        <v>1</v>
      </c>
      <c r="F33" s="58">
        <v>1</v>
      </c>
      <c r="G33" s="62">
        <v>1600</v>
      </c>
      <c r="H33" s="61"/>
      <c r="I33" s="65"/>
      <c r="J33" s="64"/>
      <c r="K33" s="65"/>
      <c r="L33" s="65">
        <f t="shared" si="1"/>
        <v>1600</v>
      </c>
      <c r="M33" s="65">
        <f t="shared" si="0"/>
        <v>3200</v>
      </c>
      <c r="N33" s="65">
        <f t="shared" si="2"/>
        <v>38400</v>
      </c>
    </row>
    <row r="34" spans="2:14" ht="23.25" customHeight="1">
      <c r="B34" s="33">
        <f t="shared" si="3"/>
        <v>12</v>
      </c>
      <c r="C34" s="59" t="s">
        <v>43</v>
      </c>
      <c r="D34" s="59"/>
      <c r="E34" s="58">
        <v>1</v>
      </c>
      <c r="F34" s="58">
        <v>1</v>
      </c>
      <c r="G34" s="62">
        <v>1600</v>
      </c>
      <c r="H34" s="61"/>
      <c r="I34" s="65"/>
      <c r="J34" s="64"/>
      <c r="K34" s="65"/>
      <c r="L34" s="65">
        <f t="shared" si="1"/>
        <v>1600</v>
      </c>
      <c r="M34" s="65">
        <f t="shared" si="0"/>
        <v>3200</v>
      </c>
      <c r="N34" s="65">
        <f t="shared" si="2"/>
        <v>38400</v>
      </c>
    </row>
    <row r="35" spans="2:14" ht="23.25" customHeight="1">
      <c r="B35" s="33">
        <f t="shared" si="3"/>
        <v>13</v>
      </c>
      <c r="C35" s="59" t="s">
        <v>39</v>
      </c>
      <c r="D35" s="59"/>
      <c r="E35" s="58">
        <v>1</v>
      </c>
      <c r="F35" s="58">
        <v>1</v>
      </c>
      <c r="G35" s="62">
        <v>1600</v>
      </c>
      <c r="H35" s="61"/>
      <c r="I35" s="65"/>
      <c r="J35" s="64"/>
      <c r="K35" s="65"/>
      <c r="L35" s="65">
        <f t="shared" si="1"/>
        <v>1600</v>
      </c>
      <c r="M35" s="65">
        <f t="shared" si="0"/>
        <v>3200</v>
      </c>
      <c r="N35" s="65">
        <f t="shared" si="2"/>
        <v>38400</v>
      </c>
    </row>
    <row r="36" spans="2:14" ht="23.25" customHeight="1">
      <c r="B36" s="33">
        <f t="shared" si="3"/>
        <v>14</v>
      </c>
      <c r="C36" s="59" t="s">
        <v>39</v>
      </c>
      <c r="D36" s="59"/>
      <c r="E36" s="58">
        <v>1</v>
      </c>
      <c r="F36" s="58">
        <v>1</v>
      </c>
      <c r="G36" s="62">
        <v>1600</v>
      </c>
      <c r="H36" s="61"/>
      <c r="I36" s="65"/>
      <c r="J36" s="64"/>
      <c r="K36" s="65"/>
      <c r="L36" s="65">
        <f t="shared" si="1"/>
        <v>1600</v>
      </c>
      <c r="M36" s="65">
        <f t="shared" si="0"/>
        <v>3200</v>
      </c>
      <c r="N36" s="65">
        <f t="shared" si="2"/>
        <v>38400</v>
      </c>
    </row>
    <row r="37" spans="2:14" ht="23.25" customHeight="1">
      <c r="B37" s="33">
        <f t="shared" si="3"/>
        <v>15</v>
      </c>
      <c r="C37" s="59" t="s">
        <v>39</v>
      </c>
      <c r="D37" s="59"/>
      <c r="E37" s="58">
        <v>1</v>
      </c>
      <c r="F37" s="58">
        <v>1</v>
      </c>
      <c r="G37" s="62">
        <v>1600</v>
      </c>
      <c r="H37" s="61"/>
      <c r="I37" s="65"/>
      <c r="J37" s="64"/>
      <c r="K37" s="65"/>
      <c r="L37" s="65">
        <f t="shared" si="1"/>
        <v>1600</v>
      </c>
      <c r="M37" s="65">
        <f t="shared" si="0"/>
        <v>3200</v>
      </c>
      <c r="N37" s="65">
        <f t="shared" si="2"/>
        <v>38400</v>
      </c>
    </row>
    <row r="38" spans="2:14" ht="23.25" customHeight="1">
      <c r="B38" s="33">
        <f t="shared" si="3"/>
        <v>16</v>
      </c>
      <c r="C38" s="59" t="s">
        <v>39</v>
      </c>
      <c r="D38" s="59"/>
      <c r="E38" s="58">
        <v>1</v>
      </c>
      <c r="F38" s="58">
        <v>1</v>
      </c>
      <c r="G38" s="62">
        <v>1600</v>
      </c>
      <c r="H38" s="61"/>
      <c r="I38" s="65"/>
      <c r="J38" s="64"/>
      <c r="K38" s="65"/>
      <c r="L38" s="65">
        <f>3200-G38-H38-I38-J38</f>
        <v>1600</v>
      </c>
      <c r="M38" s="65">
        <f t="shared" si="0"/>
        <v>3200</v>
      </c>
      <c r="N38" s="65">
        <f t="shared" si="2"/>
        <v>38400</v>
      </c>
    </row>
    <row r="39" spans="2:14" ht="23.25" customHeight="1">
      <c r="B39" s="33">
        <f t="shared" si="3"/>
        <v>17</v>
      </c>
      <c r="C39" s="59" t="s">
        <v>40</v>
      </c>
      <c r="D39" s="59"/>
      <c r="E39" s="58">
        <v>1</v>
      </c>
      <c r="F39" s="58">
        <v>1</v>
      </c>
      <c r="G39" s="62">
        <v>1600</v>
      </c>
      <c r="H39" s="61"/>
      <c r="I39" s="65">
        <v>400</v>
      </c>
      <c r="J39" s="64"/>
      <c r="K39" s="65"/>
      <c r="L39" s="65">
        <f t="shared" si="1"/>
        <v>1200</v>
      </c>
      <c r="M39" s="65">
        <f t="shared" si="0"/>
        <v>3200</v>
      </c>
      <c r="N39" s="65">
        <f t="shared" si="2"/>
        <v>38400</v>
      </c>
    </row>
    <row r="40" spans="2:14" ht="23.25" customHeight="1">
      <c r="B40" s="33">
        <f t="shared" si="3"/>
        <v>18</v>
      </c>
      <c r="C40" s="59" t="s">
        <v>40</v>
      </c>
      <c r="D40" s="59"/>
      <c r="E40" s="58">
        <v>1</v>
      </c>
      <c r="F40" s="58">
        <v>1</v>
      </c>
      <c r="G40" s="62">
        <v>1600</v>
      </c>
      <c r="H40" s="61"/>
      <c r="I40" s="65">
        <v>400</v>
      </c>
      <c r="J40" s="64"/>
      <c r="K40" s="65"/>
      <c r="L40" s="65">
        <f t="shared" si="1"/>
        <v>1200</v>
      </c>
      <c r="M40" s="65">
        <f t="shared" si="0"/>
        <v>3200</v>
      </c>
      <c r="N40" s="65">
        <f t="shared" si="2"/>
        <v>38400</v>
      </c>
    </row>
    <row r="41" spans="2:14" ht="23.25" customHeight="1">
      <c r="B41" s="33">
        <f t="shared" si="3"/>
        <v>19</v>
      </c>
      <c r="C41" s="59" t="s">
        <v>40</v>
      </c>
      <c r="D41" s="59"/>
      <c r="E41" s="58">
        <v>1</v>
      </c>
      <c r="F41" s="58">
        <v>1</v>
      </c>
      <c r="G41" s="62">
        <v>1600</v>
      </c>
      <c r="H41" s="61"/>
      <c r="I41" s="65"/>
      <c r="J41" s="64"/>
      <c r="K41" s="65"/>
      <c r="L41" s="65">
        <f t="shared" si="1"/>
        <v>1600</v>
      </c>
      <c r="M41" s="65">
        <f t="shared" si="0"/>
        <v>3200</v>
      </c>
      <c r="N41" s="65">
        <f t="shared" si="2"/>
        <v>38400</v>
      </c>
    </row>
    <row r="42" spans="2:14" ht="23.25" customHeight="1">
      <c r="B42" s="33">
        <f t="shared" si="3"/>
        <v>20</v>
      </c>
      <c r="C42" s="59" t="s">
        <v>40</v>
      </c>
      <c r="D42" s="59"/>
      <c r="E42" s="58">
        <v>1</v>
      </c>
      <c r="F42" s="58">
        <v>1</v>
      </c>
      <c r="G42" s="62">
        <v>1600</v>
      </c>
      <c r="H42" s="61"/>
      <c r="I42" s="65"/>
      <c r="J42" s="64"/>
      <c r="K42" s="65"/>
      <c r="L42" s="65">
        <f>3200-G42-H42-I42-J42</f>
        <v>1600</v>
      </c>
      <c r="M42" s="65">
        <f t="shared" si="0"/>
        <v>3200</v>
      </c>
      <c r="N42" s="65">
        <f t="shared" si="2"/>
        <v>38400</v>
      </c>
    </row>
    <row r="43" spans="2:14" ht="23.25" customHeight="1">
      <c r="B43" s="33">
        <f t="shared" si="3"/>
        <v>21</v>
      </c>
      <c r="C43" s="86" t="s">
        <v>41</v>
      </c>
      <c r="D43" s="86" t="s">
        <v>201</v>
      </c>
      <c r="E43" s="87">
        <v>0.5</v>
      </c>
      <c r="F43" s="87">
        <v>9</v>
      </c>
      <c r="G43" s="88">
        <f>2768/2</f>
        <v>1384</v>
      </c>
      <c r="H43" s="89"/>
      <c r="I43" s="64"/>
      <c r="J43" s="65">
        <f>G43*50/100</f>
        <v>692</v>
      </c>
      <c r="K43" s="65"/>
      <c r="L43" s="64"/>
      <c r="M43" s="65">
        <f>G43+H43+I43+J43+L43</f>
        <v>2076</v>
      </c>
      <c r="N43" s="65">
        <f t="shared" si="2"/>
        <v>24912</v>
      </c>
    </row>
    <row r="44" spans="2:14" ht="18.75" customHeight="1">
      <c r="B44" s="33"/>
      <c r="C44" s="67" t="s">
        <v>24</v>
      </c>
      <c r="D44" s="67"/>
      <c r="E44" s="69">
        <f>SUM(E23:E43)</f>
        <v>20.5</v>
      </c>
      <c r="F44" s="69"/>
      <c r="G44" s="90">
        <f aca="true" t="shared" si="4" ref="G44:N44">SUM(G23:G43)</f>
        <v>33384</v>
      </c>
      <c r="H44" s="90">
        <f t="shared" si="4"/>
        <v>1600</v>
      </c>
      <c r="I44" s="90">
        <f t="shared" si="4"/>
        <v>2000</v>
      </c>
      <c r="J44" s="90">
        <f t="shared" si="4"/>
        <v>692</v>
      </c>
      <c r="K44" s="90">
        <f t="shared" si="4"/>
        <v>0</v>
      </c>
      <c r="L44" s="90">
        <f t="shared" si="4"/>
        <v>28400</v>
      </c>
      <c r="M44" s="90">
        <f t="shared" si="4"/>
        <v>66076</v>
      </c>
      <c r="N44" s="90">
        <f t="shared" si="4"/>
        <v>792912</v>
      </c>
    </row>
    <row r="46" spans="3:25" ht="22.5" customHeight="1">
      <c r="C46" s="274" t="s">
        <v>93</v>
      </c>
      <c r="D46" s="274"/>
      <c r="E46" s="274"/>
      <c r="F46" s="274"/>
      <c r="G46" s="127"/>
      <c r="H46" s="128"/>
      <c r="I46" s="273" t="s">
        <v>104</v>
      </c>
      <c r="J46" s="273"/>
      <c r="K46" s="144"/>
      <c r="L46" s="131"/>
      <c r="M46" s="84"/>
      <c r="N46" s="84"/>
      <c r="O46" s="84"/>
      <c r="P46" s="84"/>
      <c r="Q46" s="35"/>
      <c r="R46" s="35"/>
      <c r="S46" s="35"/>
      <c r="T46" s="35"/>
      <c r="U46" s="35"/>
      <c r="V46" s="35"/>
      <c r="W46" s="35"/>
      <c r="X46" s="35"/>
      <c r="Y46" s="35"/>
    </row>
    <row r="47" spans="3:25" ht="12.75" customHeight="1">
      <c r="C47" s="102"/>
      <c r="D47" s="102"/>
      <c r="E47" s="102"/>
      <c r="F47" s="102"/>
      <c r="G47" s="335" t="s">
        <v>102</v>
      </c>
      <c r="H47" s="335"/>
      <c r="I47" s="95"/>
      <c r="J47" s="96"/>
      <c r="K47" s="131"/>
      <c r="L47" s="131"/>
      <c r="M47" s="84"/>
      <c r="N47" s="84"/>
      <c r="O47" s="84"/>
      <c r="P47" s="84"/>
      <c r="Q47" s="35"/>
      <c r="R47" s="35"/>
      <c r="S47" s="35"/>
      <c r="T47" s="35"/>
      <c r="U47" s="35"/>
      <c r="V47" s="35"/>
      <c r="W47" s="35"/>
      <c r="X47" s="35"/>
      <c r="Y47" s="35"/>
    </row>
    <row r="48" spans="3:25" ht="25.5" customHeight="1">
      <c r="C48" s="274" t="s">
        <v>94</v>
      </c>
      <c r="D48" s="274"/>
      <c r="E48" s="274"/>
      <c r="F48" s="274"/>
      <c r="G48" s="127"/>
      <c r="H48" s="156"/>
      <c r="I48" s="265" t="s">
        <v>112</v>
      </c>
      <c r="J48" s="265"/>
      <c r="K48" s="145"/>
      <c r="L48" s="132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3:25" ht="12.75" customHeight="1">
      <c r="C49" s="47"/>
      <c r="D49" s="47"/>
      <c r="F49" s="38"/>
      <c r="G49" s="272" t="s">
        <v>102</v>
      </c>
      <c r="H49" s="27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6:25" ht="17.25" customHeight="1">
      <c r="F50" s="38"/>
      <c r="G50" s="38" t="s">
        <v>75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3:25" ht="12.75">
      <c r="C51" s="100" t="s">
        <v>116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</sheetData>
  <sheetProtection/>
  <mergeCells count="28">
    <mergeCell ref="B21:B22"/>
    <mergeCell ref="C21:C22"/>
    <mergeCell ref="G21:G22"/>
    <mergeCell ref="I8:L8"/>
    <mergeCell ref="I13:L13"/>
    <mergeCell ref="I9:N9"/>
    <mergeCell ref="I10:N10"/>
    <mergeCell ref="I11:N11"/>
    <mergeCell ref="N21:N22"/>
    <mergeCell ref="F21:F22"/>
    <mergeCell ref="I48:J48"/>
    <mergeCell ref="G47:H47"/>
    <mergeCell ref="I46:J46"/>
    <mergeCell ref="C19:H19"/>
    <mergeCell ref="E21:E22"/>
    <mergeCell ref="G49:H49"/>
    <mergeCell ref="C46:F46"/>
    <mergeCell ref="C48:F48"/>
    <mergeCell ref="C11:G11"/>
    <mergeCell ref="M21:M22"/>
    <mergeCell ref="C15:H15"/>
    <mergeCell ref="C12:G12"/>
    <mergeCell ref="C13:G13"/>
    <mergeCell ref="C14:H14"/>
    <mergeCell ref="I16:J16"/>
    <mergeCell ref="I21:L21"/>
    <mergeCell ref="C16:G16"/>
    <mergeCell ref="M14:N14"/>
  </mergeCells>
  <printOptions/>
  <pageMargins left="0.984251968503937" right="0.3937007874015748" top="0.3937007874015748" bottom="0.3937007874015748" header="0" footer="0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2020-12-08T09:19:02Z</cp:lastPrinted>
  <dcterms:created xsi:type="dcterms:W3CDTF">2009-12-18T09:06:23Z</dcterms:created>
  <dcterms:modified xsi:type="dcterms:W3CDTF">2020-12-08T09:19:23Z</dcterms:modified>
  <cp:category/>
  <cp:version/>
  <cp:contentType/>
  <cp:contentStatus/>
</cp:coreProperties>
</file>